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6.xml"/>
  <Override ContentType="application/vnd.openxmlformats-officedocument.drawingml.chart+xml" PartName="/xl/charts/chart11.xml"/>
  <Override ContentType="application/vnd.openxmlformats-officedocument.drawingml.chart+xml" PartName="/xl/charts/chart7.xml"/>
  <Override ContentType="application/vnd.openxmlformats-officedocument.drawingml.chart+xml" PartName="/xl/charts/chart14.xml"/>
  <Override ContentType="application/vnd.openxmlformats-officedocument.drawingml.chart+xml" PartName="/xl/charts/chart18.xml"/>
  <Override ContentType="application/vnd.openxmlformats-officedocument.drawingml.chart+xml" PartName="/xl/charts/chart13.xml"/>
  <Override ContentType="application/vnd.openxmlformats-officedocument.drawingml.chart+xml" PartName="/xl/charts/chart4.xml"/>
  <Override ContentType="application/vnd.openxmlformats-officedocument.drawingml.chart+xml" PartName="/xl/charts/chart2.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8.xml"/>
  <Override ContentType="application/vnd.openxmlformats-officedocument.drawingml.chart+xml" PartName="/xl/charts/chart15.xml"/>
  <Override ContentType="application/vnd.openxmlformats-officedocument.drawingml.chart+xml" PartName="/xl/charts/chart17.xml"/>
  <Override ContentType="application/vnd.openxmlformats-officedocument.drawingml.chart+xml" PartName="/xl/charts/chart9.xml"/>
  <Override ContentType="application/vnd.openxmlformats-officedocument.drawingml.chart+xml" PartName="/xl/charts/chart12.xml"/>
  <Override ContentType="application/vnd.openxmlformats-officedocument.drawingml.chart+xml" PartName="/xl/charts/chart5.xml"/>
  <Override ContentType="application/vnd.openxmlformats-officedocument.drawingml.chart+xml" PartName="/xl/charts/chart3.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 SP Sta.Mría" sheetId="1" r:id="rId5"/>
    <sheet state="visible" name="01" sheetId="2" r:id="rId6"/>
    <sheet state="visible" name="02" sheetId="3" r:id="rId7"/>
    <sheet state="visible" name="03" sheetId="4" r:id="rId8"/>
    <sheet state="visible" name="04" sheetId="5" r:id="rId9"/>
    <sheet state="visible" name="05" sheetId="6" r:id="rId10"/>
    <sheet state="visible" name="06" sheetId="7" r:id="rId11"/>
    <sheet state="visible" name="07" sheetId="8" r:id="rId12"/>
    <sheet state="visible" name="08" sheetId="9" r:id="rId13"/>
    <sheet state="visible" name="09" sheetId="10" r:id="rId14"/>
    <sheet state="visible" name="10" sheetId="11" r:id="rId15"/>
    <sheet state="visible" name="11" sheetId="12" r:id="rId16"/>
    <sheet state="visible" name="12" sheetId="13" r:id="rId17"/>
    <sheet state="visible" name="13" sheetId="14" r:id="rId18"/>
    <sheet state="visible" name="14" sheetId="15" r:id="rId19"/>
    <sheet state="visible" name="STA MARIA2020" sheetId="16" r:id="rId2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tc={cc615525-e5e4-4e63-8fe7-d587ed5f972b}</author>
    <author>tc={e484a9be-2293-46cd-a354-335c0356fcd2}</author>
  </authors>
  <commentList>
    <comment authorId="0" xr:uid="{cc615525-e5e4-4e63-8fe7-d587ed5f972b}" ref="K6">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 authorId="1" xr:uid="{e484a9be-2293-46cd-a354-335c0356fcd2}" ref="J6">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List>
</comments>
</file>

<file path=xl/sharedStrings.xml><?xml version="1.0" encoding="utf-8"?>
<sst xmlns="http://schemas.openxmlformats.org/spreadsheetml/2006/main" count="1368" uniqueCount="400">
  <si>
    <t>AGUAS DEL HUILA S.A. E.S.P.</t>
  </si>
  <si>
    <t>NIT 800'100.553-2</t>
  </si>
  <si>
    <t>SET INDICADORES GESTIÓN</t>
  </si>
  <si>
    <t>Versión 5,0</t>
  </si>
  <si>
    <t xml:space="preserve">PROCESO: </t>
  </si>
  <si>
    <t>GESTIÓN DE SERVICIOS PÚBLICOS - SANTA MARÍA</t>
  </si>
  <si>
    <t>NOMBRE DEL INDICADOR</t>
  </si>
  <si>
    <t>OBJETIVO DEL INDICADOR</t>
  </si>
  <si>
    <t>FORMULA DEL INDICADOR</t>
  </si>
  <si>
    <t>PERIODICIDAD REPORTE</t>
  </si>
  <si>
    <t>TIPO INDICADOR</t>
  </si>
  <si>
    <t>INTERPRETACIÓN SITUACIÓN</t>
  </si>
  <si>
    <t>LINEA BASE</t>
  </si>
  <si>
    <t>META 2021</t>
  </si>
  <si>
    <t>RESULTADOS VIGENCIA 2021</t>
  </si>
  <si>
    <t>OPTIMA</t>
  </si>
  <si>
    <t>ACEPTABLE</t>
  </si>
  <si>
    <t>DEFICIENTE</t>
  </si>
  <si>
    <t>Acum.</t>
  </si>
  <si>
    <t>ENE</t>
  </si>
  <si>
    <t>FEB</t>
  </si>
  <si>
    <t>MAR</t>
  </si>
  <si>
    <t>ABR</t>
  </si>
  <si>
    <t>MAY</t>
  </si>
  <si>
    <t>JUN</t>
  </si>
  <si>
    <t>JUL</t>
  </si>
  <si>
    <t>AGO</t>
  </si>
  <si>
    <t>SEP</t>
  </si>
  <si>
    <t>OCT</t>
  </si>
  <si>
    <t>NOV</t>
  </si>
  <si>
    <t>DIC</t>
  </si>
  <si>
    <t>IN01</t>
  </si>
  <si>
    <t>Eficiencia de Recaudo  Corriente</t>
  </si>
  <si>
    <t>Medir la eficiencia en el recaudo corriente de la prestación de los servicios pubicos domiciliarios de Aguas del Huila.</t>
  </si>
  <si>
    <t>(Valor  Recaudado  Corriente Usuario Final / Valor  Facturado Corriente Usuario Final) x100%</t>
  </si>
  <si>
    <t>Trimestral</t>
  </si>
  <si>
    <t xml:space="preserve">Eficiencia </t>
  </si>
  <si>
    <t>Entre 80% y 100%</t>
  </si>
  <si>
    <t>Entre 60% y 79%</t>
  </si>
  <si>
    <t>Menor al 59%</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</si>
  <si>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</si>
  <si>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</si>
  <si>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</si>
  <si>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Versión 8.0</t>
  </si>
  <si>
    <t>PROCESO</t>
  </si>
  <si>
    <t>IN02</t>
  </si>
  <si>
    <t>Eficiencia de Recaudo Total</t>
  </si>
  <si>
    <t>Medir la eficiencia en el recaudo total de la prestación de los servicios pubicos domiciliarios de Aguas del Huila.</t>
  </si>
  <si>
    <t>(Valor  Recaudado  Total Usuario Final / Valor  total Facturado usuario Final) x100%</t>
  </si>
  <si>
    <t>Entre 71% y 100%</t>
  </si>
  <si>
    <t>Entre 60% y 70%</t>
  </si>
  <si>
    <t>TIPO DE INDICADOR</t>
  </si>
  <si>
    <t>CÓDIGO DEL INDICADOR</t>
  </si>
  <si>
    <t>AH-SP-</t>
  </si>
  <si>
    <t>Objetivo</t>
  </si>
  <si>
    <t>Unidad de medida</t>
  </si>
  <si>
    <t>Formula</t>
  </si>
  <si>
    <t>IN03</t>
  </si>
  <si>
    <t>Rotación de Cartera</t>
  </si>
  <si>
    <t>Controlar la cartera existentes de servicios publicos por edades con el fin de evaluar la rotación de la misma.</t>
  </si>
  <si>
    <t>Meta</t>
  </si>
  <si>
    <t>(Cuentas por Cobrar  a particulares y/o oficiales /  Valor Facturado Usuarios particulares y/o oficiales) x 365</t>
  </si>
  <si>
    <t>Frecuencia</t>
  </si>
  <si>
    <t>Fuente de Información</t>
  </si>
  <si>
    <t>Menor a 31 días</t>
  </si>
  <si>
    <t>Entre 31 y 45 días</t>
  </si>
  <si>
    <t>Responsable</t>
  </si>
  <si>
    <t>Mayor a 45 días</t>
  </si>
  <si>
    <t>Por obtener Datos</t>
  </si>
  <si>
    <t>Por Análizar Datos</t>
  </si>
  <si>
    <t>%</t>
  </si>
  <si>
    <t>Días</t>
  </si>
  <si>
    <t>GRUPO DE GESTIÓN DE SERVICIOS PÚBLICOS</t>
  </si>
  <si>
    <t>IN04</t>
  </si>
  <si>
    <t>Ejecución de inversiones</t>
  </si>
  <si>
    <t>Realizar el seguimiento a la ejecución de la inversión establecida para la vigencia fiscal respectiva.</t>
  </si>
  <si>
    <t xml:space="preserve">(Inversión realizada / Inversión presupuestada) x 100% </t>
  </si>
  <si>
    <t>METODOLOGIA PARA OBTENER LOS DATOS:</t>
  </si>
  <si>
    <t>MEDICIÓN DE DATOS:</t>
  </si>
  <si>
    <t>VIGENCIA 2025</t>
  </si>
  <si>
    <t>MES</t>
  </si>
  <si>
    <t>IN05</t>
  </si>
  <si>
    <t>Cobertura   (Acueducto)</t>
  </si>
  <si>
    <t xml:space="preserve">Medir el grado de cobertura en   la prestación del servicio de acueducto administrado por Aguas del Huila. </t>
  </si>
  <si>
    <t xml:space="preserve">(Número de Suscriptores servicio de acueducto / Número de Domicilios) x 100% </t>
  </si>
  <si>
    <t>ACUM</t>
  </si>
  <si>
    <t>META  AÑO 2025</t>
  </si>
  <si>
    <t>IN06</t>
  </si>
  <si>
    <t>Cobertura   (Alcantarillado)</t>
  </si>
  <si>
    <t xml:space="preserve">Medir el grado de cobertura en   la prestación del servicio de alcantarillado administrado  por Aguas del Huila. </t>
  </si>
  <si>
    <t xml:space="preserve">(Número de Suscriptores servicio de alcantarillado  / Número de Domicilios) x 100%  </t>
  </si>
  <si>
    <t>RESULTADOS DE LA VIGENCIA</t>
  </si>
  <si>
    <t>VARIABLES</t>
  </si>
  <si>
    <t>IN07</t>
  </si>
  <si>
    <t>Vr. recaudado corriente usuario final</t>
  </si>
  <si>
    <t xml:space="preserve">Cobertura   (Servicio de Aseo) </t>
  </si>
  <si>
    <t>Vr. Total Recaudado usuario final</t>
  </si>
  <si>
    <t xml:space="preserve">Medir el grado de cobertura en   la prestación del servicio de aseo administrado  por Aguas del Huila. </t>
  </si>
  <si>
    <t xml:space="preserve">(Residuos sólidos recolectada / Residuos sólidos producidos) x 100%           </t>
  </si>
  <si>
    <t>Vr. Total Facturado usuario final</t>
  </si>
  <si>
    <t>Vr. Facturado corriente usuario final</t>
  </si>
  <si>
    <t>IN08</t>
  </si>
  <si>
    <t>Cobertura de medición</t>
  </si>
  <si>
    <t>Cuentas por cobrar a particulares y/o entidades oficiales</t>
  </si>
  <si>
    <t>Lograr que los suscriptores del servicio de acueducto de Aguas del Huila, tengan su instrumento medición.</t>
  </si>
  <si>
    <t xml:space="preserve">(Número de Medidores en servicio / Número de Suscriptores) x 100%          </t>
  </si>
  <si>
    <t>Vr. Facturado usuarios particulares y/o entidades oficiales - Mes</t>
  </si>
  <si>
    <t xml:space="preserve"> </t>
  </si>
  <si>
    <t>IN09</t>
  </si>
  <si>
    <t>Calidad del Agua</t>
  </si>
  <si>
    <t>Monitorear la calidad de agua suministrada a los usuarios por parte de Aguas de Huila.</t>
  </si>
  <si>
    <t xml:space="preserve">Medición de acuerdo al IRCA          </t>
  </si>
  <si>
    <t>Menor al 5%</t>
  </si>
  <si>
    <t>RANGOS DE EVALUACIÓN</t>
  </si>
  <si>
    <t>Entre el 5% y el 8%</t>
  </si>
  <si>
    <t>Mayor al 8%</t>
  </si>
  <si>
    <t>Vr. Facturado usuarios particulares y/o entidades oficiales - Acumulado</t>
  </si>
  <si>
    <t>ANÁLISIS GRÁFICO (Tendencia del indicador)</t>
  </si>
  <si>
    <t>IN10</t>
  </si>
  <si>
    <t>Índice de agua no contabilizada</t>
  </si>
  <si>
    <t>Lograr que Aguas del Huila facture la totalidad del agua producida.</t>
  </si>
  <si>
    <t xml:space="preserve">(Volumen  producido - Volumen facturado /   Volumen  producido)   x 100          </t>
  </si>
  <si>
    <t>Menor al 30%</t>
  </si>
  <si>
    <t>Entre el 30% y el 50%</t>
  </si>
  <si>
    <t>Mayor al 50%</t>
  </si>
  <si>
    <r>
      <rPr>
        <rFont val="Tahoma"/>
        <b/>
        <color theme="1"/>
        <sz val="9.0"/>
      </rPr>
      <t>ANÁLISIS DE MEDICIÓN</t>
    </r>
    <r>
      <rPr>
        <rFont val="Tahoma"/>
        <color theme="1"/>
        <sz val="9.0"/>
      </rPr>
      <t xml:space="preserve"> (Cumplimiento de metas, comportamiento histórico, tendencias, causas):</t>
    </r>
  </si>
  <si>
    <r>
      <rPr>
        <rFont val="Tahoma"/>
        <b/>
        <color theme="1"/>
        <sz val="9.0"/>
      </rPr>
      <t>ANÁLISIS DE MEDICIÓN</t>
    </r>
    <r>
      <rPr>
        <rFont val="Tahoma"/>
        <color theme="1"/>
        <sz val="9.0"/>
      </rPr>
      <t xml:space="preserve"> (Cumplimiento de metas, comportamiento histórico, tendencias, causas):</t>
    </r>
  </si>
  <si>
    <t>Fecha</t>
  </si>
  <si>
    <t>El resultado de 85,1% superó la meta del 60,0%.</t>
  </si>
  <si>
    <t>El recaudo alcanzó un 85,6%, cumpliendo satisfactoriamente la meta del 85%.</t>
  </si>
  <si>
    <t>El resultado de 82,1% superó la meta del 60,0%.</t>
  </si>
  <si>
    <t>El resultado fue de 82,6%, por debajo de la meta del 85% aunque dentro del rango óptimo.</t>
  </si>
  <si>
    <t>Se obtuvo un 84,2%, acercándose a la meta pero sin lograr el 85% esperado.</t>
  </si>
  <si>
    <t>El resultado de 84,1% superó la meta del 60,0%.</t>
  </si>
  <si>
    <t>IN11</t>
  </si>
  <si>
    <t>Continuidad del servicio (Acueducto)</t>
  </si>
  <si>
    <t>Prestar el servico de acueducto en forma continua las 24 horas.</t>
  </si>
  <si>
    <t>(720 - Horas sin servicio mensuales) / 720) * 100</t>
  </si>
  <si>
    <t>El recaudo fue del 85,3%, logrando superar ligeramente la meta establecida.</t>
  </si>
  <si>
    <t>El resultado de 85,6% superó la meta del 60,0%.</t>
  </si>
  <si>
    <t>El indicador disminuyó al 81,3%, incumpliendo la meta mensual del 85%.</t>
  </si>
  <si>
    <t>El resultado de 80,8% superó la meta del 60,0%.</t>
  </si>
  <si>
    <t>Se presentó un recaudo atípico del 154,7%, superando ampliamente la meta propuesta.</t>
  </si>
  <si>
    <t>El resultado de 152,4% superó ampliamente la meta del 60,0%.</t>
  </si>
  <si>
    <t>El resultado fue de 84,4%, quedando muy cerca de alcanzar la meta del 85%.</t>
  </si>
  <si>
    <t>IN12</t>
  </si>
  <si>
    <t>Continuidad del Servicio (Aseo)</t>
  </si>
  <si>
    <t>Recolectar los residuos solidos en los dias y rutas establecidas en el PEGIRS.</t>
  </si>
  <si>
    <t>Número de dias de recolección de residuos sólidos por semestre/ 144</t>
  </si>
  <si>
    <t>Se logró un 87,0%, cumpliendo con la meta de recaudo del mes.</t>
  </si>
  <si>
    <t>Semestral</t>
  </si>
  <si>
    <t>El resultado de 85,3% superó la meta del 60,0%.</t>
  </si>
  <si>
    <t>Entre 91% y 100%</t>
  </si>
  <si>
    <t>Entre 71% y 90%</t>
  </si>
  <si>
    <t>Menor al 70%</t>
  </si>
  <si>
    <t>El recaudo se situó en 85,6%, cumpliendo nuevamente la meta del 85%.</t>
  </si>
  <si>
    <t>El resultado de 87,3% superó la meta del 60,0%.</t>
  </si>
  <si>
    <t>El indicador cayó al 79,5%, incumpliendo la meta y bajando al rango de evaluación aceptable.</t>
  </si>
  <si>
    <r>
      <rPr>
        <rFont val="Tahoma"/>
        <b/>
        <color theme="1"/>
        <sz val="9.0"/>
      </rPr>
      <t>ANÁLISIS DE MEDICIÓN</t>
    </r>
    <r>
      <rPr>
        <rFont val="Tahoma"/>
        <color theme="1"/>
        <sz val="9.0"/>
      </rPr>
      <t xml:space="preserve"> (Cumplimiento de metas, comportamiento histórico, tendencias, causas):</t>
    </r>
  </si>
  <si>
    <t>El resultado de 85,5% superó la meta del 60,0%.</t>
  </si>
  <si>
    <t>Se obtuvo un 81,9%, mejorando respecto al mes anterior pero aún por debajo de la meta.</t>
  </si>
  <si>
    <t>El recaudo cerró en 83,5%, sin lograr alcanzar la meta del 85% para el último mes.</t>
  </si>
  <si>
    <t>El resultado de 5 se ubicó por debajo de la meta de 20.</t>
  </si>
  <si>
    <t>El resultado de 80,2% superó la meta del 60,0%.</t>
  </si>
  <si>
    <r>
      <rPr>
        <rFont val="Tahoma"/>
        <b/>
        <color theme="1"/>
        <sz val="9.0"/>
      </rPr>
      <t>ACCIONES DE MEJORAMIENTO REQUERIDAS</t>
    </r>
    <r>
      <rPr>
        <rFont val="Tahoma"/>
        <color theme="1"/>
        <sz val="9.0"/>
      </rPr>
      <t xml:space="preserve"> (Acciones a tomar cuando se evidencie el incumplimiento de las metas propuestas):</t>
    </r>
  </si>
  <si>
    <t>El resultado de 84,0% superó la meta del 60,0%.</t>
  </si>
  <si>
    <t>El resultado de 6 se ubicó por debajo de la meta de 20.</t>
  </si>
  <si>
    <t xml:space="preserve">1. Implementar campañas de cobro persuasivo en los meses de menor recaudo (como mayo y octubre) para asegurar el cumplimiento del 85%. </t>
  </si>
  <si>
    <t>IN13</t>
  </si>
  <si>
    <t>PQR en la prestación del servicio.</t>
  </si>
  <si>
    <t>Medir el grado de satisfación de los suscriptores en la prestación del servicio.</t>
  </si>
  <si>
    <t>Número de PQR recibidas / número de suscriptores del servicio *100</t>
  </si>
  <si>
    <t>2. Revisar la cartera morosa para establecer acuerdos de pago con los usuarios, estabilizando así el flujo de recaudo mensual.</t>
  </si>
  <si>
    <t>Entre 0 y 10%</t>
  </si>
  <si>
    <t>El resultado de 84,7% superó la meta del 60,0%.</t>
  </si>
  <si>
    <t>Entre 11% y el 20%</t>
  </si>
  <si>
    <t>Mayor al 21%</t>
  </si>
  <si>
    <t>&lt; 1%</t>
  </si>
  <si>
    <t>&lt; %</t>
  </si>
  <si>
    <r>
      <rPr>
        <rFont val="Tahoma"/>
        <b/>
        <color theme="1"/>
        <sz val="9.0"/>
      </rPr>
      <t>ACCIONES DE MEJORAMIENTO REQUERIDAS</t>
    </r>
    <r>
      <rPr>
        <rFont val="Tahoma"/>
        <color theme="1"/>
        <sz val="9.0"/>
      </rPr>
      <t xml:space="preserve"> (Acciones a tomar cuando se evidencie el incumplimiento de las metas propuestas):</t>
    </r>
  </si>
  <si>
    <t>Se cumplió la meta en todos los meses, por lo que no se requieren acciones correctivas adicionales.</t>
  </si>
  <si>
    <t>El resultado de 7 se ubicó por debajo de la meta de 20.</t>
  </si>
  <si>
    <t>IN14</t>
  </si>
  <si>
    <t>El resultado de -19 se ubicó por debajo de la meta de 20, siendo un valor atípico.</t>
  </si>
  <si>
    <t>Disposición en Relleno Sanitario</t>
  </si>
  <si>
    <t>Disponer la totalidad de los residuos solidos recolectados en el sitio de disposición final.</t>
  </si>
  <si>
    <t>(Residuos sólidos en relleno sanitario / Residuos sólidos producidos)     x 100    %</t>
  </si>
  <si>
    <t>GRUPO DE GESTIÓN DE PROYECTOS</t>
  </si>
  <si>
    <t>GRUPO DE GESTIÓN DE PORTAFOLIO</t>
  </si>
  <si>
    <t>GRUPO DE GESTIÓN DE OPORTUNIDADES</t>
  </si>
  <si>
    <t>GRUPO DE GESTIÓN DE BIENES Y SERVICIOS</t>
  </si>
  <si>
    <t>GRUPO DE GESTIÓN JURÍDICA - CONTRATACIÓN</t>
  </si>
  <si>
    <t>GRUPO DE TECNOLOGIAS DE LA INFORMACIÓN Y LA COMUNICACIÓN - TIC'S</t>
  </si>
  <si>
    <t>GESTIÓN DE PROYECTOS</t>
  </si>
  <si>
    <t>GESTIÓN DE PORTAFOLIO</t>
  </si>
  <si>
    <t>GESTIÓN DE OPORTUNIDADES</t>
  </si>
  <si>
    <t>GRUPO DE MEJORAMIENTO CONTINUO</t>
  </si>
  <si>
    <t>GESTIÓN DE BIENES Y SERVICIOS</t>
  </si>
  <si>
    <t>GESTIÓN JURÍDICA - CONTRATACIÓN</t>
  </si>
  <si>
    <t>TECNOLOGIAS DE LA INFORMACIÓN Y LA COMUNICACIÓN - TIC'S</t>
  </si>
  <si>
    <t>MEJORAMIENTO CONTINUO</t>
  </si>
  <si>
    <t>GESTIÓN DE RECURSOS HUMANOS</t>
  </si>
  <si>
    <t>GESTIÓN DEL CONOCIMIENTO</t>
  </si>
  <si>
    <t>GESTIÓN FINANCIERA</t>
  </si>
  <si>
    <t>CONTROL INTERNO</t>
  </si>
  <si>
    <t>DIRECCIONAMIENTO ESTRATÉGICO</t>
  </si>
  <si>
    <t>GRUPO DE GESTIÓN DE RECURSOS HUMANOS</t>
  </si>
  <si>
    <t>Eficacia</t>
  </si>
  <si>
    <t>Efectividad</t>
  </si>
  <si>
    <t>Mensual</t>
  </si>
  <si>
    <t>Bimensual</t>
  </si>
  <si>
    <t>Cuatrimestral</t>
  </si>
  <si>
    <t>Anual</t>
  </si>
  <si>
    <t>GRUPO DE GESTIÓN DEL CONOCIMIENTO</t>
  </si>
  <si>
    <r>
      <rPr>
        <rFont val="Tahoma"/>
        <b/>
        <color theme="1"/>
        <sz val="9.0"/>
      </rPr>
      <t>ACCIONES DE MEJORAMIENTO REQUERIDAS</t>
    </r>
    <r>
      <rPr>
        <rFont val="Tahoma"/>
        <color theme="1"/>
        <sz val="9.0"/>
      </rPr>
      <t xml:space="preserve"> (Acciones a tomar cuando se evidencie el incumplimiento de las metas propuestas):</t>
    </r>
  </si>
  <si>
    <t>GRUPO DE GESTIÓN FINANCIERA</t>
  </si>
  <si>
    <t>1. Revisar el reporte del mes de junio por presentar un valor negativo atípico. 2. Implementar estrategias de seguimiento para asegurar que los resultados se alineen de forma óptima con la meta establecida.</t>
  </si>
  <si>
    <t>GRUPO DE CONTROL INTERNO</t>
  </si>
  <si>
    <t>GRUPO DE DIRECCIONAMIENTO ESTRATÉGICO</t>
  </si>
  <si>
    <r>
      <rPr>
        <rFont val="Tahoma"/>
        <b val="0"/>
        <color theme="1"/>
        <sz val="10.0"/>
      </rPr>
      <t xml:space="preserve">FORMATO: </t>
    </r>
    <r>
      <rPr>
        <rFont val="Tahoma"/>
        <b/>
        <color theme="1"/>
        <sz val="10.0"/>
      </rPr>
      <t>MATRIZ DE REGISTRO Y MEDICIÓN DE INDICADORES</t>
    </r>
  </si>
  <si>
    <t>Inversión realizada por mes</t>
  </si>
  <si>
    <t>Inversión Acumulada en el periodo</t>
  </si>
  <si>
    <t>Inversión Presupuestada</t>
  </si>
  <si>
    <r>
      <rPr>
        <rFont val="Tahoma"/>
        <b/>
        <color theme="1"/>
        <sz val="9.0"/>
      </rPr>
      <t>ANÁLISIS DE MEDICIÓN</t>
    </r>
    <r>
      <rPr>
        <rFont val="Tahoma"/>
        <color theme="1"/>
        <sz val="9.0"/>
      </rPr>
      <t xml:space="preserve"> (Cumplimiento de metas, comportamiento histórico, tendencias, causas):</t>
    </r>
  </si>
  <si>
    <t>No se reportó información.</t>
  </si>
  <si>
    <r>
      <rPr>
        <rFont val="Tahoma"/>
        <b/>
        <color theme="1"/>
        <sz val="9.0"/>
      </rPr>
      <t>ACCIONES DE MEJORAMIENTO REQUERIDAS</t>
    </r>
    <r>
      <rPr>
        <rFont val="Tahoma"/>
        <color theme="1"/>
        <sz val="9.0"/>
      </rPr>
      <t xml:space="preserve"> (Acciones a tomar cuando se evidencie el incumplimiento de las metas propuestas):</t>
    </r>
  </si>
  <si>
    <t>1. Establecer un cronograma mensual de reporte obligatorio para asegurar el registro de información. 2. Asignar un responsable directo para la recolección y digitación de los datos.</t>
  </si>
  <si>
    <r>
      <rPr>
        <rFont val="Tahoma"/>
        <b val="0"/>
        <color theme="1"/>
        <sz val="10.0"/>
      </rPr>
      <t xml:space="preserve">FORMATO: </t>
    </r>
    <r>
      <rPr>
        <rFont val="Tahoma"/>
        <b/>
        <color theme="1"/>
        <sz val="10.0"/>
      </rPr>
      <t>MATRIZ DE REGISTRO Y MEDICIÓN DE INDICADORES</t>
    </r>
  </si>
  <si>
    <r>
      <rPr>
        <rFont val="Tahoma"/>
        <b val="0"/>
        <color theme="1"/>
        <sz val="10.0"/>
      </rPr>
      <t xml:space="preserve">FORMATO: </t>
    </r>
    <r>
      <rPr>
        <rFont val="Tahoma"/>
        <b/>
        <color theme="1"/>
        <sz val="10.0"/>
      </rPr>
      <t>MATRIZ DE REGISTRO Y MEDICIÓN DE INDICADORES</t>
    </r>
  </si>
  <si>
    <t>No. de suscriptores servicio de acueducto</t>
  </si>
  <si>
    <t>No. de domicilios</t>
  </si>
  <si>
    <r>
      <rPr>
        <rFont val="Tahoma"/>
        <b/>
        <color theme="1"/>
        <sz val="9.0"/>
      </rPr>
      <t>ANÁLISIS DE MEDICIÓN</t>
    </r>
    <r>
      <rPr>
        <rFont val="Tahoma"/>
        <color theme="1"/>
        <sz val="9.0"/>
      </rPr>
      <t xml:space="preserve"> (Cumplimiento de metas, comportamiento histórico, tendencias, causas):</t>
    </r>
  </si>
  <si>
    <t>El resultado de 99,4% no alcanzó la meta del 100%.</t>
  </si>
  <si>
    <t>El resultado de 99,2% no alcanzó la meta del 100%.</t>
  </si>
  <si>
    <t>No. de suscriptores servicio de alcantarillado</t>
  </si>
  <si>
    <t>El resultado de 99,1% no alcanzó la meta del 100%.</t>
  </si>
  <si>
    <t>El resultado de 99,0% no alcanzó la meta del 100%.</t>
  </si>
  <si>
    <t>El resultado de 98,1% no alcanzó la meta del 100%.</t>
  </si>
  <si>
    <t>El resultado de 99,5% no alcanzó la meta del 100%.</t>
  </si>
  <si>
    <t>El resultado de 100,0% cumplió exactamente con la meta del 100%.</t>
  </si>
  <si>
    <t>El resultado de 99,7% no alcanzó la meta del 100%.</t>
  </si>
  <si>
    <t>El resultado de 99,6% no alcanzó la meta del 100%.</t>
  </si>
  <si>
    <t>El resultado de 99,9% no alcanzó la meta del 100%.</t>
  </si>
  <si>
    <r>
      <rPr>
        <rFont val="Tahoma"/>
        <b/>
        <color theme="1"/>
        <sz val="9.0"/>
      </rPr>
      <t>ACCIONES DE MEJORAMIENTO REQUERIDAS</t>
    </r>
    <r>
      <rPr>
        <rFont val="Tahoma"/>
        <color theme="1"/>
        <sz val="9.0"/>
      </rPr>
      <t xml:space="preserve"> (Acciones a tomar cuando se evidencie el incumplimiento de las metas propuestas):</t>
    </r>
  </si>
  <si>
    <t>1. Identificar las causas operativas que impiden alcanzar el 100% en los meses con déficit. 2. Reforzar las actividades de control para asegurar el cumplimiento total de la meta en todos los periodos.</t>
  </si>
  <si>
    <r>
      <rPr>
        <rFont val="Tahoma"/>
        <b/>
        <color theme="1"/>
        <sz val="9.0"/>
      </rPr>
      <t>ANÁLISIS DE MEDICIÓN</t>
    </r>
    <r>
      <rPr>
        <rFont val="Tahoma"/>
        <color theme="1"/>
        <sz val="9.0"/>
      </rPr>
      <t xml:space="preserve"> (Cumplimiento de metas, comportamiento histórico, tendencias, causas):</t>
    </r>
  </si>
  <si>
    <t>El resultado de 92,0% no alcanzó la meta del 100%.</t>
  </si>
  <si>
    <t>El resultado de 91,9% no alcanzó la meta del 100%.</t>
  </si>
  <si>
    <t>El resultado de 91,6% no alcanzó la meta del 100%.</t>
  </si>
  <si>
    <t>El resultado de 90,6% no alcanzó la meta del 100%.</t>
  </si>
  <si>
    <t>El resultado de 892,1% superó la meta de manera atípica, indicando un posible error.</t>
  </si>
  <si>
    <t>El resultado de 92,4% no alcanzó la meta del 100%.</t>
  </si>
  <si>
    <t>El resultado de 92,3% no alcanzó la meta del 100%.</t>
  </si>
  <si>
    <t>El resultado de 92,1% no alcanzó la meta del 100%.</t>
  </si>
  <si>
    <t>El resultado de 91,7% no alcanzó la meta del 100%.</t>
  </si>
  <si>
    <r>
      <rPr>
        <rFont val="Tahoma"/>
        <b/>
        <color theme="1"/>
        <sz val="9.0"/>
      </rPr>
      <t>ACCIONES DE MEJORAMIENTO REQUERIDAS</t>
    </r>
    <r>
      <rPr>
        <rFont val="Tahoma"/>
        <color theme="1"/>
        <sz val="9.0"/>
      </rPr>
      <t xml:space="preserve"> (Acciones a tomar cuando se evidencie el incumplimiento de las metas propuestas):</t>
    </r>
  </si>
  <si>
    <t>1. Revisar y corregir el dato del mes de junio, ya que presenta un valor atípico (892,1%) por un posible error de digitación. 2. Implementar estrategias para incrementar los resultados y alcanzar la meta del 100%.</t>
  </si>
  <si>
    <r>
      <rPr>
        <rFont val="Tahoma"/>
        <b val="0"/>
        <color theme="1"/>
        <sz val="10.0"/>
      </rPr>
      <t xml:space="preserve">FORMATO: </t>
    </r>
    <r>
      <rPr>
        <rFont val="Tahoma"/>
        <b/>
        <color theme="1"/>
        <sz val="10.0"/>
      </rPr>
      <t>MATRIZ DE REGISTRO Y MEDICIÓN DE INDICADORES</t>
    </r>
  </si>
  <si>
    <t>Residuos sólidos recolectados</t>
  </si>
  <si>
    <t>Residuos sólidos producidos</t>
  </si>
  <si>
    <r>
      <rPr>
        <rFont val="Tahoma"/>
        <b val="0"/>
        <color theme="1"/>
        <sz val="10.0"/>
      </rPr>
      <t xml:space="preserve">FORMATO: </t>
    </r>
    <r>
      <rPr>
        <rFont val="Tahoma"/>
        <b/>
        <color theme="1"/>
        <sz val="10.0"/>
      </rPr>
      <t>MATRIZ DE REGISTRO Y MEDICIÓN DE INDICADORES</t>
    </r>
  </si>
  <si>
    <r>
      <rPr>
        <rFont val="Tahoma"/>
        <b/>
        <color theme="1"/>
        <sz val="9.0"/>
      </rPr>
      <t>ANÁLISIS DE MEDICIÓN</t>
    </r>
    <r>
      <rPr>
        <rFont val="Tahoma"/>
        <color theme="1"/>
        <sz val="9.0"/>
      </rPr>
      <t xml:space="preserve"> (Cumplimiento de metas, comportamiento histórico, tendencias, causas):</t>
    </r>
  </si>
  <si>
    <t>En este municipio no se atiende el servicio de aseo.</t>
  </si>
  <si>
    <r>
      <rPr>
        <rFont val="Tahoma"/>
        <b/>
        <color theme="1"/>
        <sz val="9.0"/>
      </rPr>
      <t>ACCIONES DE MEJORAMIENTO REQUERIDAS</t>
    </r>
    <r>
      <rPr>
        <rFont val="Tahoma"/>
        <color theme="1"/>
        <sz val="9.0"/>
      </rPr>
      <t xml:space="preserve"> (Acciones a tomar cuando se evidencie el incumplimiento de las metas propuestas):</t>
    </r>
  </si>
  <si>
    <t>No. de medidores en servicio</t>
  </si>
  <si>
    <t>No. de suscriptores</t>
  </si>
  <si>
    <r>
      <rPr>
        <rFont val="Tahoma"/>
        <b/>
        <color theme="1"/>
        <sz val="9.0"/>
      </rPr>
      <t>ANÁLISIS DE MEDICIÓN</t>
    </r>
    <r>
      <rPr>
        <rFont val="Tahoma"/>
        <color theme="1"/>
        <sz val="9.0"/>
      </rPr>
      <t xml:space="preserve"> (Cumplimiento de metas, comportamiento histórico, tendencias, causas):</t>
    </r>
  </si>
  <si>
    <t>No se cumplió la meta del 95%. Se alcanzó un 88.0%.</t>
  </si>
  <si>
    <t>No se cumplió la meta del 95%. Se alcanzó un 88.3%.</t>
  </si>
  <si>
    <t>No se cumplió la meta del 95%. Se alcanzó un 87.3%.</t>
  </si>
  <si>
    <t>No se cumplió la meta del 95%. Se alcanzó un 85.4%.</t>
  </si>
  <si>
    <t>No se cumplió la meta del 95%. Se alcanzó un 86.7%.</t>
  </si>
  <si>
    <t>No se cumplió la meta del 95%. Se alcanzó un 86.3%.</t>
  </si>
  <si>
    <t>No se cumplió la meta del 95%. Se alcanzó un 84.4%.</t>
  </si>
  <si>
    <t>Se cumplió la meta del 95%. Se alcanzó un 100.0%.</t>
  </si>
  <si>
    <t>Error en el cálculo debido a falta de datos en variables.</t>
  </si>
  <si>
    <t>Se cumplió la meta del 95%. Se alcanzó un 95.0%.</t>
  </si>
  <si>
    <t>No se cumplió la meta del 95%. Se alcanzó un 94.4%.</t>
  </si>
  <si>
    <r>
      <rPr>
        <rFont val="Tahoma"/>
        <b/>
        <color theme="1"/>
        <sz val="9.0"/>
      </rPr>
      <t>ACCIONES DE MEJORAMIENTO REQUERIDAS</t>
    </r>
    <r>
      <rPr>
        <rFont val="Tahoma"/>
        <color theme="1"/>
        <sz val="9.0"/>
      </rPr>
      <t xml:space="preserve"> (Acciones a tomar cuando se evidencie el incumplimiento de las metas propuestas):</t>
    </r>
  </si>
  <si>
    <t>Implementar un plan de instalación de nuevos medidores y revisión de los existentes para alcanzar la cobertura del 95%.</t>
  </si>
  <si>
    <r>
      <rPr>
        <rFont val="Tahoma"/>
        <b val="0"/>
        <color theme="1"/>
        <sz val="10.0"/>
      </rPr>
      <t xml:space="preserve">FORMATO: </t>
    </r>
    <r>
      <rPr>
        <rFont val="Tahoma"/>
        <b/>
        <color theme="1"/>
        <sz val="10.0"/>
      </rPr>
      <t>MATRIZ DE REGISTRO Y MEDICIÓN DE INDICADORES</t>
    </r>
  </si>
  <si>
    <t>Resultados medición metodológia IRCA</t>
  </si>
  <si>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</si>
  <si>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</si>
  <si>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</si>
  <si>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t xml:space="preserve">Volumen producido </t>
  </si>
  <si>
    <t>Volumen facturado</t>
  </si>
  <si>
    <r>
      <rPr>
        <rFont val="Tahoma"/>
        <b/>
        <color theme="1"/>
        <sz val="9.0"/>
      </rPr>
      <t>ANÁLISIS DE MEDICIÓN</t>
    </r>
    <r>
      <rPr>
        <rFont val="Tahoma"/>
        <color theme="1"/>
        <sz val="9.0"/>
      </rPr>
      <t xml:space="preserve"> (Cumplimiento de metas, comportamiento histórico, tendencias, causas):</t>
    </r>
  </si>
  <si>
    <t>Se cumplió la meta de mantener el índice por debajo del 30%. Resultado: 9.5%.</t>
  </si>
  <si>
    <t>Se cumplió la meta. Resultado: 16.9%.</t>
  </si>
  <si>
    <t>Se cumplió la meta. Resultado: 22.9%.</t>
  </si>
  <si>
    <t>Se cumplió la meta. Resultado: 20.9%.</t>
  </si>
  <si>
    <t>Se cumplió la meta. Resultado: 29.6%.</t>
  </si>
  <si>
    <t>No se cumplió la meta del 30%. El índice subió a 38.8%.</t>
  </si>
  <si>
    <t>Se cumplió la meta. Resultado: 6.6%.</t>
  </si>
  <si>
    <t>Se cumplió la meta. Resultado: 16.0%.</t>
  </si>
  <si>
    <t>Se cumplió la meta. Resultado: 13.7%.</t>
  </si>
  <si>
    <t>No se cumplió la meta del 30%. El índice subió a 34.4%.</t>
  </si>
  <si>
    <t>Se cumplió la meta. Resultado: 16.3%.</t>
  </si>
  <si>
    <t>Se cumplió la meta. Resultado: 27.5%.</t>
  </si>
  <si>
    <r>
      <rPr>
        <rFont val="Tahoma"/>
        <b/>
        <color theme="1"/>
        <sz val="9.0"/>
      </rPr>
      <t>ACCIONES DE MEJORAMIENTO REQUERIDAS</t>
    </r>
    <r>
      <rPr>
        <rFont val="Tahoma"/>
        <color theme="1"/>
        <sz val="9.0"/>
      </rPr>
      <t xml:space="preserve"> (Acciones a tomar cuando se evidencie el incumplimiento de las metas propuestas):</t>
    </r>
  </si>
  <si>
    <t>Realizar campañas de detección de fugas y revisión de conexiones fraudulentas, especialmente tras los picos de junio y octubre.</t>
  </si>
  <si>
    <r>
      <rPr>
        <rFont val="Tahoma"/>
        <b val="0"/>
        <color theme="1"/>
        <sz val="10.0"/>
      </rPr>
      <t xml:space="preserve">FORMATO: </t>
    </r>
    <r>
      <rPr>
        <rFont val="Tahoma"/>
        <b/>
        <color theme="1"/>
        <sz val="10.0"/>
      </rPr>
      <t>MATRIZ DE REGISTRO Y MEDICIÓN DE INDICADORES</t>
    </r>
  </si>
  <si>
    <t>Horas sin servicio mensual</t>
  </si>
  <si>
    <r>
      <rPr>
        <rFont val="Tahoma"/>
        <b/>
        <color theme="1"/>
        <sz val="9.0"/>
      </rPr>
      <t>ANÁLISIS DE MEDICIÓN</t>
    </r>
    <r>
      <rPr>
        <rFont val="Tahoma"/>
        <color theme="1"/>
        <sz val="9.0"/>
      </rPr>
      <t xml:space="preserve"> (Cumplimiento de metas, comportamiento histórico, tendencias, causas):</t>
    </r>
  </si>
  <si>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</si>
  <si>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</si>
  <si>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t>No. de días de recolección de residuos sólidos en el semestre</t>
  </si>
  <si>
    <t>NA</t>
  </si>
  <si>
    <r>
      <rPr>
        <rFont val="Tahoma"/>
        <b/>
        <color theme="1"/>
        <sz val="9.0"/>
      </rPr>
      <t>ANÁLISIS DE MEDICIÓN</t>
    </r>
    <r>
      <rPr>
        <rFont val="Tahoma"/>
        <color theme="1"/>
        <sz val="9.0"/>
      </rPr>
      <t xml:space="preserve"> (Cumplimiento de metas, comportamiento histórico, tendencias, causas):</t>
    </r>
  </si>
  <si>
    <t>La entidad no presta el servicio de aseo en este municipio</t>
  </si>
  <si>
    <r>
      <rPr>
        <rFont val="Tahoma"/>
        <b/>
        <color theme="1"/>
        <sz val="9.0"/>
      </rPr>
      <t>ACCIONES DE MEJORAMIENTO REQUERIDAS</t>
    </r>
    <r>
      <rPr>
        <rFont val="Tahoma"/>
        <color theme="1"/>
        <sz val="9.0"/>
      </rPr>
      <t xml:space="preserve"> (Acciones a tomar cuando se evidencie el incumplimiento de las metas propuestas):</t>
    </r>
  </si>
  <si>
    <r>
      <rPr>
        <rFont val="Tahoma"/>
        <b val="0"/>
        <color theme="1"/>
        <sz val="10.0"/>
      </rPr>
      <t xml:space="preserve">FORMATO: </t>
    </r>
    <r>
      <rPr>
        <rFont val="Tahoma"/>
        <b/>
        <color theme="1"/>
        <sz val="10.0"/>
      </rPr>
      <t>MATRIZ DE REGISTRO Y MEDICIÓN DE INDICADORES</t>
    </r>
  </si>
  <si>
    <t>Número de PQR recibidas</t>
  </si>
  <si>
    <t>Número de suscriptores del servicio</t>
  </si>
  <si>
    <r>
      <rPr>
        <rFont val="Tahoma"/>
        <b/>
        <color theme="1"/>
        <sz val="9.0"/>
      </rPr>
      <t>ANÁLISIS DE MEDICIÓN</t>
    </r>
    <r>
      <rPr>
        <rFont val="Tahoma"/>
        <color theme="1"/>
        <sz val="9.0"/>
      </rPr>
      <t xml:space="preserve"> (Cumplimiento de metas, comportamiento histórico, tendencias, causas):</t>
    </r>
  </si>
  <si>
    <t>Se cumplió la meta. Resultado: 0.0%.</t>
  </si>
  <si>
    <t>Se cumplió la meta. Resultado: 0.2%.</t>
  </si>
  <si>
    <t>Se cumplió la meta. Resultado: 0.3%.</t>
  </si>
  <si>
    <r>
      <rPr>
        <rFont val="Tahoma"/>
        <b/>
        <color theme="1"/>
        <sz val="9.0"/>
      </rPr>
      <t>ACCIONES DE MEJORAMIENTO REQUERIDAS</t>
    </r>
    <r>
      <rPr>
        <rFont val="Tahoma"/>
        <color theme="1"/>
        <sz val="9.0"/>
      </rPr>
      <t xml:space="preserve"> (Acciones a tomar cuando se evidencie el incumplimiento de las metas propuestas):</t>
    </r>
  </si>
  <si>
    <t>Continuar con la atención oportuna de las PQR para mantener el indicador por debajo del límite establecido.</t>
  </si>
  <si>
    <t>&lt; 15%</t>
  </si>
  <si>
    <t>&lt; 5%</t>
  </si>
  <si>
    <r>
      <rPr>
        <rFont val="Tahoma"/>
        <b val="0"/>
        <color theme="1"/>
        <sz val="10.0"/>
      </rPr>
      <t xml:space="preserve">FORMATO: </t>
    </r>
    <r>
      <rPr>
        <rFont val="Tahoma"/>
        <b/>
        <color theme="1"/>
        <sz val="10.0"/>
      </rPr>
      <t>MATRIZ DE REGISTRO Y MEDICIÓN DE INDICADORES</t>
    </r>
  </si>
  <si>
    <t>Residuos sólidos en relleno sanitario</t>
  </si>
  <si>
    <r>
      <rPr>
        <rFont val="Tahoma"/>
        <b/>
        <color theme="1"/>
        <sz val="9.0"/>
      </rPr>
      <t>ANÁLISIS DE MEDICIÓN</t>
    </r>
    <r>
      <rPr>
        <rFont val="Tahoma"/>
        <color theme="1"/>
        <sz val="9.0"/>
      </rPr>
      <t xml:space="preserve"> (Cumplimiento de metas, comportamiento histórico, tendencias, causas):</t>
    </r>
  </si>
  <si>
    <t>La empresa no atiende el servicio de aseo en este municipio.</t>
  </si>
  <si>
    <r>
      <rPr>
        <rFont val="Tahoma"/>
        <b/>
        <color theme="1"/>
        <sz val="9.0"/>
      </rPr>
      <t>ACCIONES DE MEJORAMIENTO REQUERIDAS</t>
    </r>
    <r>
      <rPr>
        <rFont val="Tahoma"/>
        <color theme="1"/>
        <sz val="9.0"/>
      </rPr>
      <t xml:space="preserve"> (Acciones a tomar cuando se evidencie el incumplimiento de las metas propuestas):</t>
    </r>
  </si>
  <si>
    <t>TABLERO DE INDICADORES BÁSICOS PARA EMPRESAS DE ACUEDUCTO, ALCANTARILLADO Y ASEO</t>
  </si>
  <si>
    <r>
      <rPr>
        <rFont val="Arial"/>
        <b/>
        <color theme="1"/>
        <sz val="14.0"/>
      </rPr>
      <t xml:space="preserve">MUNICIPIO : </t>
    </r>
    <r>
      <rPr>
        <rFont val="Arial"/>
        <b val="0"/>
        <color theme="1"/>
        <sz val="14.0"/>
      </rPr>
      <t>SANTA MARIA</t>
    </r>
  </si>
  <si>
    <t>EMPRESA:</t>
  </si>
  <si>
    <t>INFORMACIÓN REQUERIDA</t>
  </si>
  <si>
    <t>Unidad</t>
  </si>
  <si>
    <t>Domicilios</t>
  </si>
  <si>
    <t>Suscriptores de Acueducto</t>
  </si>
  <si>
    <t>Suscriptores</t>
  </si>
  <si>
    <t>Suscriptores de Alcantarillado</t>
  </si>
  <si>
    <t>Suscriptores de Aseo</t>
  </si>
  <si>
    <t>Volúmen de agua producida</t>
  </si>
  <si>
    <t>(m3/mes)</t>
  </si>
  <si>
    <t>Volúmen de agua facturada</t>
  </si>
  <si>
    <t>Volúmen de vertimiento de alcantarillado facturado</t>
  </si>
  <si>
    <t>($/mes)</t>
  </si>
  <si>
    <t>Gastos totales</t>
  </si>
  <si>
    <t>Costos de personal</t>
  </si>
  <si>
    <t xml:space="preserve">Valor facturado Corriente servicio de Acueducto </t>
  </si>
  <si>
    <t>Valor recaudado Corriente servicio de Acueducto</t>
  </si>
  <si>
    <t>Valor facturado Corriente servicio de Alcantarillado</t>
  </si>
  <si>
    <t>Valor recaudado Corriente servicio de Alcantarillado</t>
  </si>
  <si>
    <t>Valor facturado Corriente servicio de Aseo</t>
  </si>
  <si>
    <t>Valor recaudado Corriente servicio de Aseo</t>
  </si>
  <si>
    <t>Valor facturado Deuda servicio de Acueducto</t>
  </si>
  <si>
    <t>Valor recaudado Deuda  servicio de Acueducto</t>
  </si>
  <si>
    <t>Valor facturado Deuda  servicio de Alcantarillado</t>
  </si>
  <si>
    <t>Valor recaudadoDeuda   servicio de Alcantarillado</t>
  </si>
  <si>
    <t>Valor facturado Deuda   servicio de Aseo</t>
  </si>
  <si>
    <t>Valor recaudado Deuda  servicio de Aseo</t>
  </si>
  <si>
    <t>Valor facturado Total servicio de Acueducto</t>
  </si>
  <si>
    <t>Valor recaudado Total servicio de Acueducto</t>
  </si>
  <si>
    <t>Valor facturado Total servicio de Alcantarillado</t>
  </si>
  <si>
    <t>Valor recaudado Total  servicio de Alcantarillado</t>
  </si>
  <si>
    <t>Valor facturado Total servicio de Aseo</t>
  </si>
  <si>
    <t>Valor recaudado Total  servicio de Aseo</t>
  </si>
  <si>
    <t>Gran total facturado</t>
  </si>
  <si>
    <t>Gran total recaudado</t>
  </si>
  <si>
    <t>Calidad bacteriológica</t>
  </si>
  <si>
    <t>Cumple</t>
  </si>
  <si>
    <t>Calidad fisicoquiímica</t>
  </si>
  <si>
    <t>Toneladas dispuestas Aseo</t>
  </si>
  <si>
    <t>No de horas sin servicio</t>
  </si>
  <si>
    <t>No. de PQR recibidas</t>
  </si>
  <si>
    <t>Total Facturado Corriente</t>
  </si>
  <si>
    <t>Total Recaudado Corriente</t>
  </si>
  <si>
    <t>Total Facturado deuda</t>
  </si>
  <si>
    <t>Total Recaudado deuda</t>
  </si>
  <si>
    <t>Eficiencia Corriente Total</t>
  </si>
  <si>
    <t>Eficiencia Deuda Total</t>
  </si>
  <si>
    <t>INDICADORES</t>
  </si>
  <si>
    <t>Cobertura de Acueducto</t>
  </si>
  <si>
    <t>(%)</t>
  </si>
  <si>
    <t>Cobertura de Alcantarillado</t>
  </si>
  <si>
    <t>Cobertura de Aseo</t>
  </si>
  <si>
    <t>Calidad del agua</t>
  </si>
  <si>
    <t>Apta / No Apta</t>
  </si>
  <si>
    <t>Índice de Agua No Contabilizada</t>
  </si>
  <si>
    <t>Eficiencia  recaudo Corriente Acueducto</t>
  </si>
  <si>
    <t>Eficiencia  recaudo Corriente  Alcantarillado</t>
  </si>
  <si>
    <t>Eficiencia  recaudo Corriente Aseo</t>
  </si>
  <si>
    <t>Eficiencia  recaudo Deuda Acueducto</t>
  </si>
  <si>
    <t>Eficiencia  recaudo Deuda  Alcantarillado</t>
  </si>
  <si>
    <t>Eficiencia  recaudo Deuda Aseo</t>
  </si>
  <si>
    <t>Eficiencia recaudo Total  Acueducto</t>
  </si>
  <si>
    <t>Eficiencia recaudo Total  Alcantarillado</t>
  </si>
  <si>
    <t>Eficiencia recaudo Total Aseo</t>
  </si>
  <si>
    <t>Eficiencia recaudo Total</t>
  </si>
  <si>
    <t>Eficiencia laboral Acueducto y Alcantarillado</t>
  </si>
  <si>
    <t>Utilidad neta</t>
  </si>
  <si>
    <t>IPUF</t>
  </si>
  <si>
    <t>INDICADORES DE COBERTURA</t>
  </si>
  <si>
    <t>COBERTURAS DE SERVICIO</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</si>
</sst>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0.0%"/>
    <numFmt numFmtId="165" formatCode="#,##0.0"/>
    <numFmt numFmtId="166" formatCode="_-* #,##0_-;\-* #,##0_-;_-* &quot;-&quot;??_-;_-@"/>
    <numFmt numFmtId="167" formatCode="_-* #,##0.00_-;\-* #,##0.00_-;_-* &quot;-&quot;??_-;_-@"/>
    <numFmt numFmtId="168" formatCode="0.0"/>
    <numFmt numFmtId="169" formatCode="_(* #,##0_);_(* \(#,##0\);_(* &quot;-&quot;??_);_(@_)"/>
    <numFmt numFmtId="170" formatCode="_(* #,##0.0_);_(* \(#,##0.0\);_(* &quot;-&quot;??_);_(@_)"/>
    <numFmt numFmtId="171" formatCode="_-* #,##0.0000_-;\-* #,##0.0000_-;_-* &quot;-&quot;??_-;_-@"/>
    <numFmt numFmtId="172" formatCode="_ * #,##0.00_ ;_ * \-#,##0.00_ ;_ * &quot;-&quot;??_ ;_ @_ "/>
    <numFmt numFmtId="173" formatCode="#,##0.000"/>
  </numFmts>
  <fonts count="29">
    <font>
      <sz val="11.0"/>
      <color theme="1"/>
      <name val="Calibri"/>
      <scheme val="minor"/>
    </font>
    <font>
      <sz val="11.0"/>
      <color theme="1"/>
      <name val="Calibri"/>
    </font>
    <font/>
    <font>
      <b/>
      <sz val="10.0"/>
      <color theme="1"/>
      <name val="Calibri"/>
    </font>
    <font>
      <sz val="8.0"/>
      <color theme="1"/>
      <name val="Calibri"/>
    </font>
    <font>
      <b/>
      <sz val="11.0"/>
      <color theme="1"/>
      <name val="Calibri"/>
    </font>
    <font>
      <i/>
      <sz val="9.0"/>
      <color theme="1"/>
      <name val="Calibri"/>
    </font>
    <font>
      <b/>
      <sz val="10.0"/>
      <color theme="1"/>
      <name val="Arial"/>
    </font>
    <font>
      <b/>
      <sz val="11.0"/>
      <color theme="1"/>
      <name val="Arial"/>
    </font>
    <font>
      <b/>
      <sz val="8.0"/>
      <color theme="1"/>
      <name val="Arial"/>
    </font>
    <font>
      <b/>
      <sz val="6.0"/>
      <color theme="1"/>
      <name val="Arial"/>
    </font>
    <font>
      <b/>
      <sz val="14.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sz val="8.0"/>
      <color theme="1"/>
      <name val="Tahoma"/>
    </font>
    <font>
      <i/>
      <sz val="8.0"/>
      <color theme="1"/>
      <name val="Tahoma"/>
    </font>
    <font>
      <b/>
      <sz val="8.0"/>
      <color theme="1"/>
      <name val="Tahoma"/>
    </font>
    <font>
      <sz val="9.0"/>
      <color theme="1"/>
      <name val="Tahoma"/>
    </font>
    <font>
      <b/>
      <sz val="9.0"/>
      <color theme="1"/>
      <name val="Tahoma"/>
    </font>
    <font>
      <sz val="11.0"/>
      <color theme="1"/>
      <name val="Arial"/>
    </font>
    <font>
      <sz val="10.0"/>
      <color theme="1"/>
      <name val="Arial"/>
    </font>
    <font>
      <b/>
      <sz val="12.0"/>
      <color theme="1"/>
      <name val="Arial"/>
    </font>
    <font>
      <b/>
      <sz val="14.0"/>
      <color theme="1"/>
      <name val="Arial"/>
    </font>
    <font>
      <sz val="14.0"/>
      <color theme="1"/>
      <name val="Arial"/>
    </font>
    <font>
      <sz val="9.0"/>
      <color theme="1"/>
      <name val="Arial"/>
    </font>
    <font>
      <sz val="10.0"/>
      <color theme="1"/>
      <name val="Calibri"/>
    </font>
  </fonts>
  <fills count="16">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E5DFEC"/>
        <bgColor rgb="FFE5DFEC"/>
      </patternFill>
    </fill>
    <fill>
      <patternFill patternType="solid">
        <fgColor rgb="FF7F7F7F"/>
        <bgColor rgb="FF7F7F7F"/>
      </patternFill>
    </fill>
    <fill>
      <patternFill patternType="solid">
        <fgColor rgb="FFC0C0C0"/>
        <bgColor rgb="FFC0C0C0"/>
      </patternFill>
    </fill>
    <fill>
      <patternFill patternType="solid">
        <fgColor theme="0"/>
        <bgColor theme="0"/>
      </patternFill>
    </fill>
    <fill>
      <patternFill patternType="solid">
        <fgColor rgb="FFDBE5F1"/>
        <bgColor rgb="FFDBE5F1"/>
      </patternFill>
    </fill>
    <fill>
      <patternFill patternType="solid">
        <fgColor rgb="FFD6E3BC"/>
        <bgColor rgb="FFD6E3BC"/>
      </patternFill>
    </fill>
    <fill>
      <patternFill patternType="solid">
        <fgColor rgb="FFFFC000"/>
        <bgColor rgb="FFFFC000"/>
      </patternFill>
    </fill>
    <fill>
      <patternFill patternType="solid">
        <fgColor rgb="FF366092"/>
        <bgColor rgb="FF366092"/>
      </patternFill>
    </fill>
  </fills>
  <borders count="83">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rder>
    <border>
      <right style="double">
        <color rgb="FF000000"/>
      </right>
    </border>
    <border>
      <left style="double">
        <color rgb="FF000000"/>
      </left>
      <bottom style="double">
        <color rgb="FF000000"/>
      </bottom>
    </border>
    <border>
      <bottom style="double">
        <color rgb="FF000000"/>
      </bottom>
    </border>
    <border>
      <right style="double">
        <color rgb="FF000000"/>
      </right>
      <bottom style="double">
        <color rgb="FF000000"/>
      </bottom>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right style="double">
        <color rgb="FF000000"/>
      </right>
      <top style="double">
        <color rgb="FF000000"/>
      </top>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top style="thin">
        <color rgb="FF000000"/>
      </top>
      <bottom/>
    </border>
    <border>
      <top style="thin">
        <color rgb="FF000000"/>
      </top>
      <bottom/>
    </border>
    <border>
      <right style="medium">
        <color rgb="FF000000"/>
      </right>
      <top style="thin">
        <color rgb="FF000000"/>
      </top>
      <bottom style="thin">
        <color rgb="FF000000"/>
      </bottom>
    </border>
    <border>
      <right style="medium">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
      <left/>
      <top style="double">
        <color rgb="FF000000"/>
      </top>
      <bottom/>
    </border>
    <border>
      <top style="double">
        <color rgb="FF000000"/>
      </top>
      <bottom/>
    </border>
    <border>
      <right/>
      <top style="double">
        <color rgb="FF000000"/>
      </top>
      <bottom/>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rder>
    <border>
      <left style="thin">
        <color rgb="FF000000"/>
      </left>
      <right style="medium">
        <color rgb="FF000000"/>
      </right>
      <top style="thin">
        <color rgb="FF000000"/>
      </top>
      <bottom/>
    </border>
    <border>
      <left/>
      <right/>
      <top/>
      <bottom/>
    </border>
    <border>
      <left style="thin">
        <color rgb="FF000000"/>
      </left>
      <right style="thin">
        <color rgb="FF000000"/>
      </right>
    </border>
    <border>
      <left style="thin">
        <color rgb="FF000000"/>
      </left>
      <right style="thin">
        <color rgb="FF000000"/>
      </right>
      <top/>
      <bottom style="thin">
        <color rgb="FF000000"/>
      </bottom>
    </border>
  </borders>
  <cellStyleXfs count="1">
    <xf borderId="0" fillId="0" fontId="0" numFmtId="0" applyAlignment="1" applyFont="1"/>
  </cellStyleXfs>
  <cellXfs count="233">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1" fillId="0" fontId="3" numFmtId="0" xfId="0" applyAlignment="1" applyBorder="1" applyFont="1">
      <alignment horizontal="center" vertical="center"/>
    </xf>
    <xf borderId="3" fillId="0" fontId="2" numFmtId="0" xfId="0" applyBorder="1" applyFont="1"/>
    <xf borderId="4" fillId="0" fontId="2" numFmtId="0" xfId="0" applyBorder="1" applyFont="1"/>
    <xf borderId="4" fillId="0" fontId="4" numFmtId="0" xfId="0" applyAlignment="1" applyBorder="1" applyFont="1">
      <alignment horizontal="center" vertical="center"/>
    </xf>
    <xf borderId="5" fillId="0" fontId="2" numFmtId="0" xfId="0" applyBorder="1" applyFont="1"/>
    <xf borderId="1" fillId="0" fontId="5" numFmtId="0" xfId="0" applyAlignment="1" applyBorder="1" applyFont="1">
      <alignment horizontal="center" vertical="center"/>
    </xf>
    <xf borderId="6" fillId="0" fontId="2" numFmtId="0" xfId="0" applyBorder="1" applyFont="1"/>
    <xf borderId="7" fillId="0" fontId="2" numFmtId="0" xfId="0" applyBorder="1" applyFont="1"/>
    <xf borderId="6" fillId="0" fontId="6" numFmtId="0" xfId="0" applyAlignment="1" applyBorder="1" applyFont="1">
      <alignment horizontal="center" vertical="center"/>
    </xf>
    <xf borderId="8" fillId="0" fontId="2" numFmtId="0" xfId="0" applyBorder="1" applyFont="1"/>
    <xf borderId="9" fillId="2" fontId="7" numFmtId="0" xfId="0" applyAlignment="1" applyBorder="1" applyFill="1" applyFont="1">
      <alignment horizontal="right" shrinkToFit="0" vertical="center" wrapText="1"/>
    </xf>
    <xf borderId="10" fillId="0" fontId="2" numFmtId="0" xfId="0" applyBorder="1" applyFont="1"/>
    <xf borderId="11" fillId="0" fontId="2" numFmtId="0" xfId="0" applyBorder="1" applyFont="1"/>
    <xf borderId="10" fillId="0" fontId="8" numFmtId="0" xfId="0" applyAlignment="1" applyBorder="1" applyFont="1">
      <alignment horizontal="left" shrinkToFit="0" vertical="center" wrapText="1"/>
    </xf>
    <xf borderId="12" fillId="0" fontId="2" numFmtId="0" xfId="0" applyBorder="1" applyFont="1"/>
    <xf borderId="1" fillId="2" fontId="9" numFmtId="0" xfId="0" applyAlignment="1" applyBorder="1" applyFont="1">
      <alignment horizontal="center" shrinkToFit="0" vertical="center" wrapText="1"/>
    </xf>
    <xf borderId="13" fillId="2" fontId="9" numFmtId="0" xfId="0" applyAlignment="1" applyBorder="1" applyFont="1">
      <alignment horizontal="center" shrinkToFit="0" vertical="center" wrapText="1"/>
    </xf>
    <xf borderId="13" fillId="2" fontId="10" numFmtId="0" xfId="0" applyAlignment="1" applyBorder="1" applyFont="1">
      <alignment horizontal="center" shrinkToFit="0" textRotation="90" vertical="center" wrapText="1"/>
    </xf>
    <xf borderId="9" fillId="2" fontId="9" numFmtId="0" xfId="0" applyAlignment="1" applyBorder="1" applyFont="1">
      <alignment horizontal="center" shrinkToFit="0" vertical="center" wrapText="1"/>
    </xf>
    <xf borderId="13" fillId="3" fontId="3" numFmtId="0" xfId="0" applyAlignment="1" applyBorder="1" applyFill="1" applyFont="1">
      <alignment horizontal="center" shrinkToFit="0" textRotation="90" vertical="center" wrapText="1"/>
    </xf>
    <xf borderId="9" fillId="2" fontId="11" numFmtId="0" xfId="0" applyAlignment="1" applyBorder="1" applyFont="1">
      <alignment horizontal="center" shrinkToFit="0" vertical="center" wrapText="1"/>
    </xf>
    <xf borderId="14" fillId="0" fontId="2" numFmtId="0" xfId="0" applyBorder="1" applyFont="1"/>
    <xf borderId="15" fillId="4" fontId="10" numFmtId="0" xfId="0" applyAlignment="1" applyBorder="1" applyFill="1" applyFont="1">
      <alignment horizontal="center" shrinkToFit="0" vertical="center" wrapText="1"/>
    </xf>
    <xf borderId="15" fillId="5" fontId="10" numFmtId="0" xfId="0" applyAlignment="1" applyBorder="1" applyFill="1" applyFont="1">
      <alignment horizontal="center" shrinkToFit="0" vertical="center" wrapText="1"/>
    </xf>
    <xf borderId="15" fillId="6" fontId="10" numFmtId="0" xfId="0" applyAlignment="1" applyBorder="1" applyFill="1" applyFont="1">
      <alignment horizontal="center" shrinkToFit="0" vertical="center" wrapText="1"/>
    </xf>
    <xf borderId="15" fillId="2" fontId="3" numFmtId="0" xfId="0" applyAlignment="1" applyBorder="1" applyFont="1">
      <alignment horizontal="center" shrinkToFit="0" textRotation="90" vertical="center" wrapText="1"/>
    </xf>
    <xf borderId="0" fillId="0" fontId="4" numFmtId="0" xfId="0" applyFont="1"/>
    <xf borderId="15" fillId="0" fontId="4" numFmtId="49" xfId="0" applyAlignment="1" applyBorder="1" applyFont="1" applyNumberFormat="1">
      <alignment horizontal="center" vertical="top"/>
    </xf>
    <xf borderId="15" fillId="0" fontId="12" numFmtId="0" xfId="0" applyAlignment="1" applyBorder="1" applyFont="1">
      <alignment shrinkToFit="0" vertical="top" wrapText="1"/>
    </xf>
    <xf borderId="15" fillId="0" fontId="13" numFmtId="0" xfId="0" applyAlignment="1" applyBorder="1" applyFont="1">
      <alignment horizontal="left" shrinkToFit="0" vertical="top" wrapText="1"/>
    </xf>
    <xf borderId="15" fillId="0" fontId="14" numFmtId="0" xfId="0" applyAlignment="1" applyBorder="1" applyFont="1">
      <alignment horizontal="left" shrinkToFit="0" vertical="top" wrapText="1"/>
    </xf>
    <xf borderId="15" fillId="0" fontId="13" numFmtId="0" xfId="0" applyAlignment="1" applyBorder="1" applyFont="1">
      <alignment horizontal="center" shrinkToFit="0" textRotation="90" vertical="center" wrapText="1"/>
    </xf>
    <xf borderId="16" fillId="0" fontId="15" numFmtId="0" xfId="0" applyAlignment="1" applyBorder="1" applyFont="1">
      <alignment horizontal="center" vertical="center"/>
    </xf>
    <xf borderId="17" fillId="0" fontId="2" numFmtId="0" xfId="0" applyBorder="1" applyFont="1"/>
    <xf borderId="15" fillId="0" fontId="9" numFmtId="9" xfId="0" applyAlignment="1" applyBorder="1" applyFont="1" applyNumberFormat="1">
      <alignment horizontal="center" shrinkToFit="0" vertical="center" wrapText="1"/>
    </xf>
    <xf borderId="16" fillId="0" fontId="16" numFmtId="0" xfId="0" applyAlignment="1" applyBorder="1" applyFont="1">
      <alignment horizontal="center" vertical="center"/>
    </xf>
    <xf borderId="15" fillId="0" fontId="3" numFmtId="164" xfId="0" applyAlignment="1" applyBorder="1" applyFont="1" applyNumberFormat="1">
      <alignment horizontal="center" shrinkToFit="0" textRotation="90" vertical="center" wrapText="1"/>
    </xf>
    <xf borderId="18" fillId="0" fontId="2" numFmtId="0" xfId="0" applyBorder="1" applyFont="1"/>
    <xf borderId="0" fillId="0" fontId="15" numFmtId="0" xfId="0" applyAlignment="1" applyFont="1">
      <alignment vertical="center"/>
    </xf>
    <xf borderId="19" fillId="0" fontId="2" numFmtId="0" xfId="0" applyBorder="1" applyFont="1"/>
    <xf borderId="20" fillId="0" fontId="17" numFmtId="0" xfId="0" applyAlignment="1" applyBorder="1" applyFont="1">
      <alignment horizontal="center" vertical="center"/>
    </xf>
    <xf borderId="21" fillId="0" fontId="2" numFmtId="0" xfId="0" applyBorder="1" applyFont="1"/>
    <xf borderId="22" fillId="0" fontId="2" numFmtId="0" xfId="0" applyBorder="1" applyFont="1"/>
    <xf borderId="20" fillId="0" fontId="2" numFmtId="0" xfId="0" applyBorder="1" applyFont="1"/>
    <xf borderId="20" fillId="0" fontId="18" numFmtId="0" xfId="0" applyAlignment="1" applyBorder="1" applyFont="1">
      <alignment horizontal="center" vertical="center"/>
    </xf>
    <xf borderId="23" fillId="3" fontId="15" numFmtId="0" xfId="0" applyAlignment="1" applyBorder="1" applyFont="1">
      <alignment horizontal="left" vertical="center"/>
    </xf>
    <xf borderId="24" fillId="0" fontId="2" numFmtId="0" xfId="0" applyBorder="1" applyFont="1"/>
    <xf borderId="25" fillId="0" fontId="2" numFmtId="0" xfId="0" applyBorder="1" applyFont="1"/>
    <xf borderId="26" fillId="3" fontId="15" numFmtId="0" xfId="0" applyAlignment="1" applyBorder="1" applyFont="1">
      <alignment horizontal="left" vertical="center"/>
    </xf>
    <xf borderId="27" fillId="0" fontId="2" numFmtId="0" xfId="0" applyBorder="1" applyFont="1"/>
    <xf borderId="28" fillId="3" fontId="15" numFmtId="0" xfId="0" applyAlignment="1" applyBorder="1" applyFont="1">
      <alignment horizontal="left" vertical="center"/>
    </xf>
    <xf borderId="29" fillId="0" fontId="2" numFmtId="0" xfId="0" applyBorder="1" applyFont="1"/>
    <xf borderId="30" fillId="0" fontId="2" numFmtId="0" xfId="0" applyBorder="1" applyFont="1"/>
    <xf borderId="31" fillId="3" fontId="16" numFmtId="0" xfId="0" applyAlignment="1" applyBorder="1" applyFont="1">
      <alignment horizontal="left" vertical="center"/>
    </xf>
    <xf borderId="32" fillId="3" fontId="16" numFmtId="0" xfId="0" applyAlignment="1" applyBorder="1" applyFont="1">
      <alignment horizontal="left" vertical="center"/>
    </xf>
    <xf borderId="33" fillId="0" fontId="2" numFmtId="0" xfId="0" applyBorder="1" applyFont="1"/>
    <xf borderId="34" fillId="0" fontId="2" numFmtId="0" xfId="0" applyBorder="1" applyFont="1"/>
    <xf borderId="35" fillId="0" fontId="2" numFmtId="0" xfId="0" applyBorder="1" applyFont="1"/>
    <xf borderId="31" fillId="3" fontId="15" numFmtId="0" xfId="0" applyAlignment="1" applyBorder="1" applyFont="1">
      <alignment horizontal="left" vertical="center"/>
    </xf>
    <xf borderId="36" fillId="3" fontId="15" numFmtId="0" xfId="0" applyAlignment="1" applyBorder="1" applyFont="1">
      <alignment horizontal="left" vertical="center"/>
    </xf>
    <xf borderId="37" fillId="0" fontId="2" numFmtId="0" xfId="0" applyBorder="1" applyFont="1"/>
    <xf borderId="38" fillId="0" fontId="2" numFmtId="0" xfId="0" applyBorder="1" applyFont="1"/>
    <xf borderId="39" fillId="3" fontId="19" numFmtId="0" xfId="0" applyAlignment="1" applyBorder="1" applyFont="1">
      <alignment horizontal="right" vertical="center"/>
    </xf>
    <xf borderId="40" fillId="3" fontId="16" numFmtId="2" xfId="0" applyAlignment="1" applyBorder="1" applyFont="1" applyNumberFormat="1">
      <alignment horizontal="left" vertical="center"/>
    </xf>
    <xf borderId="41" fillId="0" fontId="2" numFmtId="0" xfId="0" applyBorder="1" applyFont="1"/>
    <xf borderId="16" fillId="7" fontId="19" numFmtId="0" xfId="0" applyAlignment="1" applyBorder="1" applyFill="1" applyFont="1">
      <alignment horizontal="center" shrinkToFit="0" vertical="center" wrapText="1"/>
    </xf>
    <xf borderId="42" fillId="0" fontId="2" numFmtId="0" xfId="0" applyBorder="1" applyFont="1"/>
    <xf borderId="43" fillId="7" fontId="19" numFmtId="0" xfId="0" applyAlignment="1" applyBorder="1" applyFont="1">
      <alignment horizontal="center" shrinkToFit="0" textRotation="90" vertical="center" wrapText="1"/>
    </xf>
    <xf borderId="44" fillId="7" fontId="19" numFmtId="0" xfId="0" applyAlignment="1" applyBorder="1" applyFont="1">
      <alignment horizontal="center" shrinkToFit="0" textRotation="90" vertical="center" wrapText="1"/>
    </xf>
    <xf borderId="26" fillId="7" fontId="19" numFmtId="0" xfId="0" applyAlignment="1" applyBorder="1" applyFont="1">
      <alignment horizontal="center" vertical="center"/>
    </xf>
    <xf borderId="15" fillId="0" fontId="3" numFmtId="165" xfId="0" applyAlignment="1" applyBorder="1" applyFont="1" applyNumberFormat="1">
      <alignment horizontal="center" shrinkToFit="0" textRotation="90" vertical="center" wrapText="1"/>
    </xf>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31" fillId="7" fontId="19" numFmtId="0" xfId="0" applyAlignment="1" applyBorder="1" applyFont="1">
      <alignment horizontal="center" shrinkToFit="0" vertical="center" wrapText="1"/>
    </xf>
    <xf borderId="36" fillId="3" fontId="17" numFmtId="0" xfId="0" applyAlignment="1" applyBorder="1" applyFont="1">
      <alignment horizontal="left" shrinkToFit="0" vertical="top" wrapText="1"/>
    </xf>
    <xf borderId="50" fillId="0" fontId="17" numFmtId="0" xfId="0" applyAlignment="1" applyBorder="1" applyFont="1">
      <alignment horizontal="center" shrinkToFit="0" vertical="center" wrapText="1"/>
    </xf>
    <xf borderId="51" fillId="3" fontId="17" numFmtId="0" xfId="0" applyAlignment="1" applyBorder="1" applyFont="1">
      <alignment horizontal="left" shrinkToFit="0" vertical="top" wrapText="1"/>
    </xf>
    <xf borderId="50" fillId="3" fontId="17" numFmtId="9" xfId="0" applyAlignment="1" applyBorder="1" applyFont="1" applyNumberFormat="1">
      <alignment horizontal="center" shrinkToFit="0" vertical="center" wrapText="1"/>
    </xf>
    <xf borderId="50" fillId="3" fontId="17" numFmtId="0" xfId="0" applyAlignment="1" applyBorder="1" applyFont="1">
      <alignment horizontal="center" shrinkToFit="0" vertical="center" wrapText="1"/>
    </xf>
    <xf borderId="50" fillId="3" fontId="17" numFmtId="1" xfId="0" applyAlignment="1" applyBorder="1" applyFont="1" applyNumberFormat="1">
      <alignment horizontal="center" shrinkToFit="0" vertical="center" wrapText="1"/>
    </xf>
    <xf borderId="51" fillId="0" fontId="19" numFmtId="0" xfId="0" applyAlignment="1" applyBorder="1" applyFont="1">
      <alignment horizontal="center" shrinkToFit="0" vertical="center" wrapText="1"/>
    </xf>
    <xf borderId="52" fillId="3" fontId="16" numFmtId="0" xfId="0" applyAlignment="1" applyBorder="1" applyFont="1">
      <alignment horizontal="left" shrinkToFit="0" vertical="center" wrapText="1"/>
    </xf>
    <xf borderId="53" fillId="0" fontId="2" numFmtId="0" xfId="0" applyBorder="1" applyFont="1"/>
    <xf borderId="54" fillId="0" fontId="2" numFmtId="0" xfId="0" applyBorder="1" applyFont="1"/>
    <xf borderId="20" fillId="0" fontId="17" numFmtId="0" xfId="0" applyAlignment="1" applyBorder="1" applyFont="1">
      <alignment horizontal="left" shrinkToFit="0" vertical="center" wrapText="1"/>
    </xf>
    <xf borderId="52" fillId="3" fontId="16" numFmtId="0" xfId="0" applyAlignment="1" applyBorder="1" applyFont="1">
      <alignment horizontal="left" vertical="center"/>
    </xf>
    <xf borderId="0" fillId="0" fontId="15" numFmtId="0" xfId="0" applyAlignment="1" applyFont="1">
      <alignment horizontal="right" vertical="center"/>
    </xf>
    <xf borderId="0" fillId="0" fontId="15" numFmtId="0" xfId="0" applyAlignment="1" applyFont="1">
      <alignment horizontal="center" vertical="center"/>
    </xf>
    <xf borderId="23" fillId="7" fontId="16" numFmtId="0" xfId="0" applyAlignment="1" applyBorder="1" applyFont="1">
      <alignment horizontal="center" vertical="center"/>
    </xf>
    <xf borderId="0" fillId="0" fontId="15" numFmtId="9" xfId="0" applyAlignment="1" applyFont="1" applyNumberFormat="1">
      <alignment horizontal="center" vertical="center"/>
    </xf>
    <xf borderId="28" fillId="7" fontId="16" numFmtId="0" xfId="0" applyAlignment="1" applyBorder="1" applyFont="1">
      <alignment horizontal="center" vertical="center"/>
    </xf>
    <xf borderId="55" fillId="7" fontId="16" numFmtId="0" xfId="0" applyAlignment="1" applyBorder="1" applyFont="1">
      <alignment horizontal="center" vertical="center"/>
    </xf>
    <xf borderId="56" fillId="7" fontId="16" numFmtId="0" xfId="0" applyAlignment="1" applyBorder="1" applyFont="1">
      <alignment horizontal="center" vertical="center"/>
    </xf>
    <xf borderId="28" fillId="0" fontId="15" numFmtId="0" xfId="0" applyAlignment="1" applyBorder="1" applyFont="1">
      <alignment horizontal="left" vertical="center"/>
    </xf>
    <xf borderId="55" fillId="0" fontId="15" numFmtId="9" xfId="0" applyAlignment="1" applyBorder="1" applyFont="1" applyNumberFormat="1">
      <alignment vertical="center"/>
    </xf>
    <xf borderId="55" fillId="0" fontId="15" numFmtId="164" xfId="0" applyAlignment="1" applyBorder="1" applyFont="1" applyNumberFormat="1">
      <alignment vertical="center"/>
    </xf>
    <xf borderId="55" fillId="0" fontId="15" numFmtId="3" xfId="0" applyAlignment="1" applyBorder="1" applyFont="1" applyNumberFormat="1">
      <alignment vertical="center"/>
    </xf>
    <xf borderId="56" fillId="3" fontId="16" numFmtId="164" xfId="0" applyAlignment="1" applyBorder="1" applyFont="1" applyNumberFormat="1">
      <alignment vertical="center"/>
    </xf>
    <xf borderId="13" fillId="0" fontId="12" numFmtId="0" xfId="0" applyAlignment="1" applyBorder="1" applyFont="1">
      <alignment horizontal="left" shrinkToFit="0" vertical="top" wrapText="1"/>
    </xf>
    <xf borderId="56" fillId="3" fontId="16" numFmtId="3" xfId="0" applyAlignment="1" applyBorder="1" applyFont="1" applyNumberFormat="1">
      <alignment vertical="center"/>
    </xf>
    <xf borderId="28" fillId="8" fontId="19" numFmtId="0" xfId="0" applyAlignment="1" applyBorder="1" applyFill="1" applyFont="1">
      <alignment horizontal="left" vertical="center"/>
    </xf>
    <xf borderId="55" fillId="3" fontId="15" numFmtId="164" xfId="0" applyAlignment="1" applyBorder="1" applyFont="1" applyNumberFormat="1">
      <alignment horizontal="right" vertical="center"/>
    </xf>
    <xf borderId="55" fillId="3" fontId="15" numFmtId="3" xfId="0" applyAlignment="1" applyBorder="1" applyFont="1" applyNumberFormat="1">
      <alignment horizontal="right" vertical="center"/>
    </xf>
    <xf borderId="56" fillId="3" fontId="15" numFmtId="164" xfId="0" applyAlignment="1" applyBorder="1" applyFont="1" applyNumberFormat="1">
      <alignment horizontal="right" vertical="center"/>
    </xf>
    <xf borderId="57" fillId="3" fontId="19" numFmtId="0" xfId="0" applyAlignment="1" applyBorder="1" applyFont="1">
      <alignment horizontal="center" textRotation="90" vertical="center"/>
    </xf>
    <xf borderId="55" fillId="0" fontId="17" numFmtId="0" xfId="0" applyAlignment="1" applyBorder="1" applyFont="1">
      <alignment horizontal="left" shrinkToFit="0" vertical="center" wrapText="1"/>
    </xf>
    <xf borderId="55" fillId="0" fontId="17" numFmtId="3" xfId="0" applyAlignment="1" applyBorder="1" applyFont="1" applyNumberFormat="1">
      <alignment vertical="center"/>
    </xf>
    <xf borderId="56" fillId="3" fontId="17" numFmtId="3" xfId="0" applyAlignment="1" applyBorder="1" applyFont="1" applyNumberFormat="1">
      <alignment vertical="center"/>
    </xf>
    <xf borderId="0" fillId="0" fontId="17" numFmtId="3" xfId="0" applyAlignment="1" applyFont="1" applyNumberFormat="1">
      <alignment vertical="center"/>
    </xf>
    <xf borderId="58" fillId="0" fontId="2" numFmtId="0" xfId="0" applyBorder="1" applyFont="1"/>
    <xf borderId="56" fillId="3" fontId="15" numFmtId="3" xfId="0" applyAlignment="1" applyBorder="1" applyFont="1" applyNumberFormat="1">
      <alignment horizontal="right" vertical="center"/>
    </xf>
    <xf borderId="55" fillId="0" fontId="17" numFmtId="0" xfId="0" applyAlignment="1" applyBorder="1" applyFont="1">
      <alignment horizontal="left" shrinkToFit="0" vertical="top" wrapText="1"/>
    </xf>
    <xf borderId="55" fillId="0" fontId="15" numFmtId="0" xfId="0" applyAlignment="1" applyBorder="1" applyFont="1">
      <alignment vertical="center"/>
    </xf>
    <xf borderId="56" fillId="3" fontId="15" numFmtId="0" xfId="0" applyAlignment="1" applyBorder="1" applyFont="1">
      <alignment vertical="center"/>
    </xf>
    <xf borderId="59" fillId="0" fontId="2" numFmtId="0" xfId="0" applyBorder="1" applyFont="1"/>
    <xf borderId="50" fillId="0" fontId="17" numFmtId="0" xfId="0" applyAlignment="1" applyBorder="1" applyFont="1">
      <alignment horizontal="left" shrinkToFit="0" vertical="center" wrapText="1"/>
    </xf>
    <xf borderId="50" fillId="0" fontId="15" numFmtId="0" xfId="0" applyAlignment="1" applyBorder="1" applyFont="1">
      <alignment vertical="center"/>
    </xf>
    <xf borderId="50" fillId="0" fontId="17" numFmtId="0" xfId="0" applyAlignment="1" applyBorder="1" applyFont="1">
      <alignment horizontal="left" shrinkToFit="0" vertical="top" wrapText="1"/>
    </xf>
    <xf borderId="60" fillId="3" fontId="15" numFmtId="0" xfId="0" applyAlignment="1" applyBorder="1" applyFont="1">
      <alignment vertical="center"/>
    </xf>
    <xf borderId="16" fillId="3" fontId="16" numFmtId="0" xfId="0" applyAlignment="1" applyBorder="1" applyFont="1">
      <alignment horizontal="center" shrinkToFit="0" vertical="center" wrapText="1"/>
    </xf>
    <xf borderId="61" fillId="3" fontId="16" numFmtId="9" xfId="0" applyAlignment="1" applyBorder="1" applyFont="1" applyNumberFormat="1">
      <alignment horizontal="center" vertical="center"/>
    </xf>
    <xf borderId="62" fillId="0" fontId="2" numFmtId="0" xfId="0" applyBorder="1" applyFont="1"/>
    <xf borderId="63" fillId="0" fontId="2" numFmtId="0" xfId="0" applyBorder="1" applyFont="1"/>
    <xf borderId="61" fillId="3" fontId="16" numFmtId="9" xfId="0" applyAlignment="1" applyBorder="1" applyFont="1" applyNumberFormat="1">
      <alignment horizontal="center" shrinkToFit="0" vertical="center" wrapText="1"/>
    </xf>
    <xf borderId="64" fillId="0" fontId="2" numFmtId="0" xfId="0" applyBorder="1" applyFont="1"/>
    <xf borderId="65" fillId="4" fontId="16" numFmtId="0" xfId="0" applyAlignment="1" applyBorder="1" applyFont="1">
      <alignment horizontal="center" vertical="center"/>
    </xf>
    <xf borderId="66" fillId="0" fontId="2" numFmtId="0" xfId="0" applyBorder="1" applyFont="1"/>
    <xf borderId="67" fillId="0" fontId="2" numFmtId="0" xfId="0" applyBorder="1" applyFont="1"/>
    <xf borderId="65" fillId="5" fontId="16" numFmtId="0" xfId="0" applyAlignment="1" applyBorder="1" applyFont="1">
      <alignment horizontal="center" vertical="center"/>
    </xf>
    <xf borderId="65" fillId="6" fontId="16" numFmtId="0" xfId="0" applyAlignment="1" applyBorder="1" applyFont="1">
      <alignment horizontal="center" vertical="center"/>
    </xf>
    <xf borderId="68" fillId="0" fontId="2" numFmtId="0" xfId="0" applyBorder="1" applyFont="1"/>
    <xf borderId="69" fillId="3" fontId="16" numFmtId="0" xfId="0" applyAlignment="1" applyBorder="1" applyFont="1">
      <alignment horizontal="center" vertical="center"/>
    </xf>
    <xf borderId="61" fillId="3" fontId="15" numFmtId="0" xfId="0" applyAlignment="1" applyBorder="1" applyFont="1">
      <alignment horizontal="center" vertical="center"/>
    </xf>
    <xf borderId="52" fillId="3" fontId="15" numFmtId="0" xfId="0" applyAlignment="1" applyBorder="1" applyFont="1">
      <alignment horizontal="center" vertical="center"/>
    </xf>
    <xf borderId="23" fillId="3" fontId="20" numFmtId="0" xfId="0" applyAlignment="1" applyBorder="1" applyFont="1">
      <alignment horizontal="left" vertical="center"/>
    </xf>
    <xf borderId="23" fillId="3" fontId="20" numFmtId="0" xfId="0" applyAlignment="1" applyBorder="1" applyFont="1">
      <alignment horizontal="left" readingOrder="0" vertical="center"/>
    </xf>
    <xf borderId="26" fillId="3" fontId="21" numFmtId="0" xfId="0" applyAlignment="1" applyBorder="1" applyFont="1">
      <alignment horizontal="center" vertical="center"/>
    </xf>
    <xf borderId="28" fillId="0" fontId="17" numFmtId="0" xfId="0" applyAlignment="1" applyBorder="1" applyFont="1">
      <alignment horizontal="left" readingOrder="0" shrinkToFit="0" vertical="top" wrapText="1"/>
    </xf>
    <xf borderId="31" fillId="0" fontId="17" numFmtId="17" xfId="0" applyAlignment="1" applyBorder="1" applyFont="1" applyNumberFormat="1">
      <alignment horizontal="center" shrinkToFit="0" vertical="center" wrapText="1"/>
    </xf>
    <xf borderId="0" fillId="0" fontId="1" numFmtId="9" xfId="0" applyFont="1" applyNumberFormat="1"/>
    <xf borderId="31" fillId="0" fontId="17" numFmtId="17" xfId="0" applyAlignment="1" applyBorder="1" applyFont="1" applyNumberFormat="1">
      <alignment horizontal="center" shrinkToFit="0" vertical="top" wrapText="1"/>
    </xf>
    <xf borderId="28" fillId="0" fontId="17" numFmtId="0" xfId="0" applyAlignment="1" applyBorder="1" applyFont="1">
      <alignment horizontal="left" shrinkToFit="0" vertical="top" wrapText="1"/>
    </xf>
    <xf borderId="70" fillId="9" fontId="15" numFmtId="0" xfId="0" applyAlignment="1" applyBorder="1" applyFill="1" applyFont="1">
      <alignment horizontal="center" vertical="center"/>
    </xf>
    <xf borderId="71" fillId="0" fontId="2" numFmtId="0" xfId="0" applyBorder="1" applyFont="1"/>
    <xf borderId="0" fillId="0" fontId="22" numFmtId="0" xfId="0" applyFont="1"/>
    <xf borderId="72" fillId="9" fontId="1" numFmtId="0" xfId="0" applyAlignment="1" applyBorder="1" applyFont="1">
      <alignment horizontal="center"/>
    </xf>
    <xf borderId="73" fillId="0" fontId="2" numFmtId="0" xfId="0" applyBorder="1" applyFont="1"/>
    <xf borderId="74" fillId="0" fontId="2" numFmtId="0" xfId="0" applyBorder="1" applyFont="1"/>
    <xf borderId="0" fillId="0" fontId="23" numFmtId="0" xfId="0" applyFont="1"/>
    <xf borderId="36" fillId="0" fontId="17" numFmtId="0" xfId="0" applyAlignment="1" applyBorder="1" applyFont="1">
      <alignment horizontal="left" shrinkToFit="0" vertical="top" wrapText="1"/>
    </xf>
    <xf borderId="51" fillId="0" fontId="17" numFmtId="0" xfId="0" applyAlignment="1" applyBorder="1" applyFont="1">
      <alignment horizontal="left" shrinkToFit="0" vertical="top" wrapText="1"/>
    </xf>
    <xf borderId="55" fillId="0" fontId="16" numFmtId="9" xfId="0" applyAlignment="1" applyBorder="1" applyFont="1" applyNumberFormat="1">
      <alignment vertical="center"/>
    </xf>
    <xf borderId="55" fillId="0" fontId="16" numFmtId="164" xfId="0" applyAlignment="1" applyBorder="1" applyFont="1" applyNumberFormat="1">
      <alignment vertical="center"/>
    </xf>
    <xf borderId="55" fillId="0" fontId="16" numFmtId="3" xfId="0" applyAlignment="1" applyBorder="1" applyFont="1" applyNumberFormat="1">
      <alignment vertical="center"/>
    </xf>
    <xf borderId="50" fillId="3" fontId="17" numFmtId="165" xfId="0" applyAlignment="1" applyBorder="1" applyFont="1" applyNumberFormat="1">
      <alignment horizontal="center" shrinkToFit="0" vertical="center" wrapText="1"/>
    </xf>
    <xf borderId="56" fillId="3" fontId="19" numFmtId="164" xfId="0" applyAlignment="1" applyBorder="1" applyFont="1" applyNumberFormat="1">
      <alignment vertical="center"/>
    </xf>
    <xf borderId="75" fillId="3" fontId="16" numFmtId="0" xfId="0" applyAlignment="1" applyBorder="1" applyFont="1">
      <alignment horizontal="left" vertical="center"/>
    </xf>
    <xf borderId="76" fillId="0" fontId="2" numFmtId="0" xfId="0" applyBorder="1" applyFont="1"/>
    <xf borderId="77" fillId="0" fontId="2" numFmtId="0" xfId="0" applyBorder="1" applyFont="1"/>
    <xf borderId="56" fillId="3" fontId="16" numFmtId="9" xfId="0" applyAlignment="1" applyBorder="1" applyFont="1" applyNumberFormat="1">
      <alignment vertical="center"/>
    </xf>
    <xf borderId="50" fillId="3" fontId="17" numFmtId="164" xfId="0" applyAlignment="1" applyBorder="1" applyFont="1" applyNumberFormat="1">
      <alignment horizontal="center" shrinkToFit="0" vertical="center" wrapText="1"/>
    </xf>
    <xf borderId="56" fillId="3" fontId="15" numFmtId="3" xfId="0" applyAlignment="1" applyBorder="1" applyFont="1" applyNumberFormat="1">
      <alignment vertical="center"/>
    </xf>
    <xf borderId="61" fillId="3" fontId="16" numFmtId="1" xfId="0" applyAlignment="1" applyBorder="1" applyFont="1" applyNumberFormat="1">
      <alignment horizontal="center" vertical="center"/>
    </xf>
    <xf borderId="56" fillId="3" fontId="16" numFmtId="9" xfId="0" applyAlignment="1" applyBorder="1" applyFont="1" applyNumberFormat="1">
      <alignment horizontal="center" vertical="center"/>
    </xf>
    <xf borderId="55" fillId="3" fontId="17" numFmtId="164" xfId="0" applyAlignment="1" applyBorder="1" applyFont="1" applyNumberFormat="1">
      <alignment horizontal="center" vertical="center"/>
    </xf>
    <xf borderId="56" fillId="3" fontId="17" numFmtId="164" xfId="0" applyAlignment="1" applyBorder="1" applyFont="1" applyNumberFormat="1">
      <alignment horizontal="center" vertical="center"/>
    </xf>
    <xf borderId="55" fillId="0" fontId="15" numFmtId="0" xfId="0" applyAlignment="1" applyBorder="1" applyFont="1">
      <alignment horizontal="center" vertical="center"/>
    </xf>
    <xf borderId="55" fillId="0" fontId="15" numFmtId="166" xfId="0" applyAlignment="1" applyBorder="1" applyFont="1" applyNumberFormat="1">
      <alignment horizontal="center" vertical="center"/>
    </xf>
    <xf borderId="55" fillId="0" fontId="15" numFmtId="167" xfId="0" applyAlignment="1" applyBorder="1" applyFont="1" applyNumberFormat="1">
      <alignment horizontal="center" vertical="center"/>
    </xf>
    <xf borderId="78" fillId="0" fontId="17" numFmtId="0" xfId="0" applyAlignment="1" applyBorder="1" applyFont="1">
      <alignment horizontal="left" shrinkToFit="0" vertical="top" wrapText="1"/>
    </xf>
    <xf borderId="78" fillId="0" fontId="15" numFmtId="168" xfId="0" applyAlignment="1" applyBorder="1" applyFont="1" applyNumberFormat="1">
      <alignment vertical="center"/>
    </xf>
    <xf borderId="79" fillId="3" fontId="15" numFmtId="168" xfId="0" applyAlignment="1" applyBorder="1" applyFont="1" applyNumberFormat="1">
      <alignment vertical="center"/>
    </xf>
    <xf borderId="45" fillId="3" fontId="20" numFmtId="0" xfId="0" applyAlignment="1" applyBorder="1" applyFont="1">
      <alignment horizontal="left" vertical="center"/>
    </xf>
    <xf borderId="55" fillId="0" fontId="19" numFmtId="164" xfId="0" applyAlignment="1" applyBorder="1" applyFont="1" applyNumberFormat="1">
      <alignment vertical="center"/>
    </xf>
    <xf borderId="56" fillId="3" fontId="15" numFmtId="10" xfId="0" applyAlignment="1" applyBorder="1" applyFont="1" applyNumberFormat="1">
      <alignment vertical="center"/>
    </xf>
    <xf borderId="56" fillId="3" fontId="15" numFmtId="4" xfId="0" applyAlignment="1" applyBorder="1" applyFont="1" applyNumberFormat="1">
      <alignment vertical="center"/>
    </xf>
    <xf borderId="55" fillId="0" fontId="16" numFmtId="9" xfId="0" applyAlignment="1" applyBorder="1" applyFont="1" applyNumberFormat="1">
      <alignment horizontal="right" vertical="center"/>
    </xf>
    <xf borderId="0" fillId="0" fontId="24" numFmtId="0" xfId="0" applyAlignment="1" applyFont="1">
      <alignment horizontal="center"/>
    </xf>
    <xf borderId="0" fillId="0" fontId="25" numFmtId="0" xfId="0" applyAlignment="1" applyFont="1">
      <alignment horizontal="left"/>
    </xf>
    <xf borderId="0" fillId="0" fontId="26" numFmtId="0" xfId="0" applyAlignment="1" applyFont="1">
      <alignment horizontal="center"/>
    </xf>
    <xf borderId="0" fillId="0" fontId="13" numFmtId="0" xfId="0" applyAlignment="1" applyFont="1">
      <alignment horizontal="center"/>
    </xf>
    <xf borderId="0" fillId="0" fontId="13" numFmtId="0" xfId="0" applyFont="1"/>
    <xf borderId="31" fillId="10" fontId="7" numFmtId="0" xfId="0" applyAlignment="1" applyBorder="1" applyFill="1" applyFont="1">
      <alignment horizontal="center" vertical="center"/>
    </xf>
    <xf borderId="55" fillId="10" fontId="9" numFmtId="0" xfId="0" applyAlignment="1" applyBorder="1" applyFont="1">
      <alignment horizontal="center" vertical="center"/>
    </xf>
    <xf borderId="55" fillId="10" fontId="7" numFmtId="17" xfId="0" applyAlignment="1" applyBorder="1" applyFont="1" applyNumberFormat="1">
      <alignment horizontal="center" vertical="center"/>
    </xf>
    <xf borderId="0" fillId="0" fontId="23" numFmtId="166" xfId="0" applyFont="1" applyNumberFormat="1"/>
    <xf borderId="55" fillId="0" fontId="13" numFmtId="0" xfId="0" applyAlignment="1" applyBorder="1" applyFont="1">
      <alignment horizontal="center" vertical="center"/>
    </xf>
    <xf borderId="55" fillId="0" fontId="13" numFmtId="0" xfId="0" applyAlignment="1" applyBorder="1" applyFont="1">
      <alignment vertical="center"/>
    </xf>
    <xf borderId="55" fillId="0" fontId="27" numFmtId="166" xfId="0" applyAlignment="1" applyBorder="1" applyFont="1" applyNumberFormat="1">
      <alignment vertical="center"/>
    </xf>
    <xf borderId="80" fillId="11" fontId="23" numFmtId="166" xfId="0" applyBorder="1" applyFill="1" applyFont="1" applyNumberFormat="1"/>
    <xf borderId="80" fillId="11" fontId="23" numFmtId="0" xfId="0" applyBorder="1" applyFont="1"/>
    <xf borderId="55" fillId="12" fontId="13" numFmtId="0" xfId="0" applyAlignment="1" applyBorder="1" applyFill="1" applyFont="1">
      <alignment horizontal="center" vertical="center"/>
    </xf>
    <xf borderId="55" fillId="12" fontId="13" numFmtId="0" xfId="0" applyAlignment="1" applyBorder="1" applyFont="1">
      <alignment vertical="center"/>
    </xf>
    <xf borderId="55" fillId="12" fontId="27" numFmtId="166" xfId="0" applyAlignment="1" applyBorder="1" applyFont="1" applyNumberFormat="1">
      <alignment vertical="center"/>
    </xf>
    <xf borderId="80" fillId="11" fontId="23" numFmtId="166" xfId="0" applyAlignment="1" applyBorder="1" applyFont="1" applyNumberFormat="1">
      <alignment vertical="center"/>
    </xf>
    <xf borderId="81" fillId="0" fontId="27" numFmtId="166" xfId="0" applyAlignment="1" applyBorder="1" applyFont="1" applyNumberFormat="1">
      <alignment vertical="center"/>
    </xf>
    <xf borderId="55" fillId="0" fontId="27" numFmtId="3" xfId="0" applyAlignment="1" applyBorder="1" applyFont="1" applyNumberFormat="1">
      <alignment horizontal="right" vertical="center"/>
    </xf>
    <xf borderId="55" fillId="11" fontId="1" numFmtId="169" xfId="0" applyBorder="1" applyFont="1" applyNumberFormat="1"/>
    <xf borderId="55" fillId="0" fontId="1" numFmtId="170" xfId="0" applyBorder="1" applyFont="1" applyNumberFormat="1"/>
    <xf borderId="0" fillId="0" fontId="23" numFmtId="167" xfId="0" applyFont="1" applyNumberFormat="1"/>
    <xf borderId="55" fillId="13" fontId="23" numFmtId="166" xfId="0" applyAlignment="1" applyBorder="1" applyFill="1" applyFont="1" applyNumberFormat="1">
      <alignment vertical="center"/>
    </xf>
    <xf borderId="55" fillId="13" fontId="7" numFmtId="166" xfId="0" applyAlignment="1" applyBorder="1" applyFont="1" applyNumberFormat="1">
      <alignment vertical="center"/>
    </xf>
    <xf borderId="55" fillId="12" fontId="23" numFmtId="0" xfId="0" applyAlignment="1" applyBorder="1" applyFont="1">
      <alignment horizontal="center" vertical="center"/>
    </xf>
    <xf borderId="55" fillId="0" fontId="23" numFmtId="167" xfId="0" applyAlignment="1" applyBorder="1" applyFont="1" applyNumberFormat="1">
      <alignment horizontal="center" vertical="center"/>
    </xf>
    <xf borderId="78" fillId="0" fontId="23" numFmtId="0" xfId="0" applyAlignment="1" applyBorder="1" applyFont="1">
      <alignment horizontal="center" vertical="center"/>
    </xf>
    <xf borderId="55" fillId="12" fontId="23" numFmtId="166" xfId="0" applyAlignment="1" applyBorder="1" applyFont="1" applyNumberFormat="1">
      <alignment horizontal="center" vertical="center"/>
    </xf>
    <xf borderId="55" fillId="12" fontId="23" numFmtId="167" xfId="0" applyAlignment="1" applyBorder="1" applyFont="1" applyNumberFormat="1">
      <alignment horizontal="center" vertical="center"/>
    </xf>
    <xf borderId="55" fillId="13" fontId="23" numFmtId="166" xfId="0" applyAlignment="1" applyBorder="1" applyFont="1" applyNumberFormat="1">
      <alignment horizontal="center" vertical="center"/>
    </xf>
    <xf borderId="55" fillId="12" fontId="23" numFmtId="166" xfId="0" applyAlignment="1" applyBorder="1" applyFont="1" applyNumberFormat="1">
      <alignment vertical="center"/>
    </xf>
    <xf borderId="55" fillId="0" fontId="23" numFmtId="0" xfId="0" applyAlignment="1" applyBorder="1" applyFont="1">
      <alignment horizontal="center" vertical="center"/>
    </xf>
    <xf borderId="0" fillId="0" fontId="23" numFmtId="171" xfId="0" applyFont="1" applyNumberFormat="1"/>
    <xf borderId="0" fillId="0" fontId="23" numFmtId="0" xfId="0" applyAlignment="1" applyFont="1">
      <alignment horizontal="center"/>
    </xf>
    <xf borderId="55" fillId="14" fontId="23" numFmtId="17" xfId="0" applyAlignment="1" applyBorder="1" applyFill="1" applyFont="1" applyNumberFormat="1">
      <alignment horizontal="center" vertical="center"/>
    </xf>
    <xf borderId="82" fillId="13" fontId="23" numFmtId="166" xfId="0" applyAlignment="1" applyBorder="1" applyFont="1" applyNumberFormat="1">
      <alignment horizontal="center" vertical="center"/>
    </xf>
    <xf borderId="55" fillId="12" fontId="13" numFmtId="166" xfId="0" applyAlignment="1" applyBorder="1" applyFont="1" applyNumberFormat="1">
      <alignment horizontal="center" vertical="center"/>
    </xf>
    <xf borderId="55" fillId="13" fontId="28" numFmtId="164" xfId="0" applyAlignment="1" applyBorder="1" applyFont="1" applyNumberFormat="1">
      <alignment horizontal="center" vertical="center"/>
    </xf>
    <xf borderId="0" fillId="0" fontId="23" numFmtId="166" xfId="0" applyAlignment="1" applyFont="1" applyNumberFormat="1">
      <alignment horizontal="center"/>
    </xf>
    <xf borderId="0" fillId="0" fontId="28" numFmtId="172" xfId="0" applyAlignment="1" applyFont="1" applyNumberFormat="1">
      <alignment horizontal="center"/>
    </xf>
    <xf borderId="55" fillId="13" fontId="23" numFmtId="10" xfId="0" applyAlignment="1" applyBorder="1" applyFont="1" applyNumberFormat="1">
      <alignment horizontal="center" vertical="center"/>
    </xf>
    <xf borderId="55" fillId="13" fontId="23" numFmtId="9" xfId="0" applyAlignment="1" applyBorder="1" applyFont="1" applyNumberFormat="1">
      <alignment horizontal="center" vertical="center"/>
    </xf>
    <xf borderId="55" fillId="12" fontId="13" numFmtId="0" xfId="0" applyAlignment="1" applyBorder="1" applyFont="1">
      <alignment horizontal="center" shrinkToFit="0" vertical="center" wrapText="1"/>
    </xf>
    <xf borderId="0" fillId="0" fontId="23" numFmtId="10" xfId="0" applyFont="1" applyNumberFormat="1"/>
    <xf borderId="55" fillId="0" fontId="13" numFmtId="9" xfId="0" applyAlignment="1" applyBorder="1" applyFont="1" applyNumberFormat="1">
      <alignment horizontal="center" vertical="center"/>
    </xf>
    <xf borderId="55" fillId="15" fontId="23" numFmtId="173" xfId="0" applyAlignment="1" applyBorder="1" applyFill="1" applyFont="1" applyNumberFormat="1">
      <alignment horizontal="center" vertical="center"/>
    </xf>
    <xf borderId="55" fillId="15" fontId="23" numFmtId="166" xfId="0" applyAlignment="1" applyBorder="1" applyFont="1" applyNumberFormat="1">
      <alignment horizontal="center" vertical="center"/>
    </xf>
    <xf borderId="0" fillId="0" fontId="25" numFmtId="0" xfId="0" applyAlignment="1" applyFont="1">
      <alignment horizontal="center"/>
    </xf>
    <xf borderId="0" fillId="0" fontId="7" numFmtId="0" xfId="0" applyAlignment="1" applyFont="1">
      <alignment horizontal="center"/>
    </xf>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'01'!$C$16:$N$16</c:f>
            </c:strRef>
          </c:cat>
          <c:val>
            <c:numRef>
              <c:f>'01'!$C$18:$N$18</c:f>
              <c:numCache/>
            </c:numRef>
          </c:val>
          <c:smooth val="0"/>
        </c:ser>
        <c:ser>
          <c:idx val="1"/>
          <c:order val="1"/>
          <c:tx>
            <c:v>RESULTADOS DE LA VIGENCIA</c:v>
          </c:tx>
          <c:spPr>
            <a:ln cmpd="sng">
              <a:solidFill>
                <a:srgbClr val="C0504D"/>
              </a:solidFill>
            </a:ln>
          </c:spPr>
          <c:marker>
            <c:symbol val="none"/>
          </c:marker>
          <c:cat>
            <c:strRef>
              <c:f>'01'!$C$16:$N$16</c:f>
            </c:strRef>
          </c:cat>
          <c:val>
            <c:numRef>
              <c:f>'01'!$C$19:$N$19</c:f>
              <c:numCache/>
            </c:numRef>
          </c:val>
          <c:smooth val="0"/>
        </c:ser>
        <c:axId val="1671500180"/>
        <c:axId val="1835932736"/>
      </c:lineChart>
      <c:catAx>
        <c:axId val="167150018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835932736"/>
      </c:catAx>
      <c:valAx>
        <c:axId val="183593273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671500180"/>
      </c:valAx>
    </c:plotArea>
    <c:legend>
      <c:legendPos val="r"/>
      <c:overlay val="0"/>
      <c:txPr>
        <a:bodyPr/>
        <a:lstStyle/>
        <a:p>
          <a:pPr lvl="0">
            <a:defRPr b="1" i="0">
              <a:solidFill>
                <a:srgbClr val="1A1A1A"/>
              </a:solidFill>
              <a:latin typeface="+mn-lt"/>
            </a:defRPr>
          </a:pPr>
        </a:p>
      </c:txPr>
    </c:legend>
    <c:plotVisOnly val="1"/>
  </c:chart>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'10'!$C$16:$N$16</c:f>
            </c:strRef>
          </c:cat>
          <c:val>
            <c:numRef>
              <c:f>'10'!$C$18:$N$18</c:f>
              <c:numCache/>
            </c:numRef>
          </c:val>
          <c:smooth val="0"/>
        </c:ser>
        <c:ser>
          <c:idx val="1"/>
          <c:order val="1"/>
          <c:tx>
            <c:v>RESULTADOS DE LA VIGENCIA</c:v>
          </c:tx>
          <c:spPr>
            <a:ln cmpd="sng">
              <a:solidFill>
                <a:srgbClr val="C0504D"/>
              </a:solidFill>
            </a:ln>
          </c:spPr>
          <c:marker>
            <c:symbol val="none"/>
          </c:marker>
          <c:cat>
            <c:strRef>
              <c:f>'10'!$C$16:$N$16</c:f>
            </c:strRef>
          </c:cat>
          <c:val>
            <c:numRef>
              <c:f>'10'!$C$19:$N$19</c:f>
              <c:numCache/>
            </c:numRef>
          </c:val>
          <c:smooth val="0"/>
        </c:ser>
        <c:axId val="346403132"/>
        <c:axId val="1251871694"/>
      </c:lineChart>
      <c:catAx>
        <c:axId val="34640313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251871694"/>
      </c:catAx>
      <c:valAx>
        <c:axId val="125187169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346403132"/>
      </c:valAx>
    </c:plotArea>
    <c:legend>
      <c:legendPos val="r"/>
      <c:overlay val="0"/>
      <c:txPr>
        <a:bodyPr/>
        <a:lstStyle/>
        <a:p>
          <a:pPr lvl="0">
            <a:defRPr b="1" i="0">
              <a:solidFill>
                <a:srgbClr val="1A1A1A"/>
              </a:solidFill>
              <a:latin typeface="+mn-lt"/>
            </a:defRPr>
          </a:pPr>
        </a:p>
      </c:txPr>
    </c:legend>
    <c:plotVisOnly val="1"/>
  </c:chart>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'11'!$C$16:$N$16</c:f>
            </c:strRef>
          </c:cat>
          <c:val>
            <c:numRef>
              <c:f>'11'!$C$18:$N$18</c:f>
              <c:numCache/>
            </c:numRef>
          </c:val>
          <c:smooth val="0"/>
        </c:ser>
        <c:axId val="2008763635"/>
        <c:axId val="627845796"/>
      </c:lineChart>
      <c:catAx>
        <c:axId val="200876363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627845796"/>
      </c:catAx>
      <c:valAx>
        <c:axId val="62784579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2008763635"/>
      </c:valAx>
    </c:plotArea>
    <c:legend>
      <c:legendPos val="r"/>
      <c:overlay val="0"/>
      <c:txPr>
        <a:bodyPr/>
        <a:lstStyle/>
        <a:p>
          <a:pPr lvl="0">
            <a:defRPr b="1" i="0">
              <a:solidFill>
                <a:srgbClr val="1A1A1A"/>
              </a:solidFill>
              <a:latin typeface="+mn-lt"/>
            </a:defRPr>
          </a:pPr>
        </a:p>
      </c:txPr>
    </c:legend>
    <c:plotVisOnly val="1"/>
  </c:chart>
</c:chartSpace>
</file>

<file path=xl/charts/chart1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'12'!$C$16:$N$16</c:f>
            </c:strRef>
          </c:cat>
          <c:val>
            <c:numRef>
              <c:f>'12'!$C$18:$N$18</c:f>
              <c:numCache/>
            </c:numRef>
          </c:val>
          <c:smooth val="0"/>
        </c:ser>
        <c:axId val="1968817790"/>
        <c:axId val="2087575698"/>
      </c:lineChart>
      <c:catAx>
        <c:axId val="196881779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87575698"/>
      </c:catAx>
      <c:valAx>
        <c:axId val="208757569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968817790"/>
      </c:valAx>
    </c:plotArea>
    <c:legend>
      <c:legendPos val="r"/>
      <c:overlay val="0"/>
      <c:txPr>
        <a:bodyPr/>
        <a:lstStyle/>
        <a:p>
          <a:pPr lvl="0">
            <a:defRPr b="1" i="0">
              <a:solidFill>
                <a:srgbClr val="1A1A1A"/>
              </a:solidFill>
              <a:latin typeface="+mn-lt"/>
            </a:defRPr>
          </a:pPr>
        </a:p>
      </c:txPr>
    </c:legend>
    <c:plotVisOnly val="1"/>
  </c:chart>
</c:chartSpace>
</file>

<file path=xl/charts/chart1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'13'!$C$16:$N$16</c:f>
            </c:strRef>
          </c:cat>
          <c:val>
            <c:numRef>
              <c:f>'13'!$C$18:$N$18</c:f>
              <c:numCache/>
            </c:numRef>
          </c:val>
          <c:smooth val="0"/>
        </c:ser>
        <c:axId val="2044898225"/>
        <c:axId val="745480474"/>
      </c:lineChart>
      <c:catAx>
        <c:axId val="204489822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745480474"/>
      </c:catAx>
      <c:valAx>
        <c:axId val="74548047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2044898225"/>
      </c:valAx>
    </c:plotArea>
    <c:legend>
      <c:legendPos val="r"/>
      <c:overlay val="0"/>
      <c:txPr>
        <a:bodyPr/>
        <a:lstStyle/>
        <a:p>
          <a:pPr lvl="0">
            <a:defRPr b="1" i="0">
              <a:solidFill>
                <a:srgbClr val="1A1A1A"/>
              </a:solidFill>
              <a:latin typeface="+mn-lt"/>
            </a:defRPr>
          </a:pPr>
        </a:p>
      </c:txPr>
    </c:legend>
    <c:plotVisOnly val="1"/>
  </c:chart>
</c:chartSpace>
</file>

<file path=xl/charts/chart1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'14'!$C$16:$N$16</c:f>
            </c:strRef>
          </c:cat>
          <c:val>
            <c:numRef>
              <c:f>'14'!$C$18:$N$18</c:f>
              <c:numCache/>
            </c:numRef>
          </c:val>
          <c:smooth val="0"/>
        </c:ser>
        <c:axId val="381567460"/>
        <c:axId val="1869875060"/>
      </c:lineChart>
      <c:catAx>
        <c:axId val="38156746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869875060"/>
      </c:catAx>
      <c:valAx>
        <c:axId val="186987506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381567460"/>
      </c:valAx>
    </c:plotArea>
    <c:legend>
      <c:legendPos val="r"/>
      <c:overlay val="0"/>
      <c:txPr>
        <a:bodyPr/>
        <a:lstStyle/>
        <a:p>
          <a:pPr lvl="0">
            <a:defRPr b="1" i="0">
              <a:solidFill>
                <a:srgbClr val="1A1A1A"/>
              </a:solidFill>
              <a:latin typeface="+mn-lt"/>
            </a:defRPr>
          </a:pPr>
        </a:p>
      </c:txPr>
    </c:legend>
    <c:plotVisOnly val="1"/>
  </c:chart>
</c:chartSpace>
</file>

<file path=xl/charts/chart1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manualLayout>
          <c:xMode val="edge"/>
          <c:yMode val="edge"/>
          <c:x val="0.07656255841259646"/>
          <c:y val="0.01049871457388701"/>
          <c:w val="0.9171881997590458"/>
          <c:h val="0.8582699164152636"/>
        </c:manualLayout>
      </c:layout>
      <c:bar3DChart>
        <c:barDir val="col"/>
        <c:grouping val="clustered"/>
        <c:ser>
          <c:idx val="0"/>
          <c:order val="0"/>
          <c:tx>
            <c:v>Acueducto</c:v>
          </c:tx>
          <c:spPr>
            <a:solidFill>
              <a:schemeClr val="accent1"/>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'STA MARIA2020'!$D$52:$I$52</c:f>
            </c:strRef>
          </c:cat>
          <c:val>
            <c:numRef>
              <c:f>'STA MARIA2020'!$D$53:$I$53</c:f>
              <c:numCache/>
            </c:numRef>
          </c:val>
        </c:ser>
        <c:ser>
          <c:idx val="1"/>
          <c:order val="1"/>
          <c:tx>
            <c:v>Alcanatrillado</c:v>
          </c:tx>
          <c:spPr>
            <a:solidFill>
              <a:schemeClr val="accent2"/>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'STA MARIA2020'!$D$52:$I$52</c:f>
            </c:strRef>
          </c:cat>
          <c:val>
            <c:numRef>
              <c:f>'STA MARIA2020'!$D$54:$I$54</c:f>
              <c:numCache/>
            </c:numRef>
          </c:val>
        </c:ser>
        <c:ser>
          <c:idx val="2"/>
          <c:order val="2"/>
          <c:tx>
            <c:v>Aseo</c:v>
          </c:tx>
          <c:spPr>
            <a:solidFill>
              <a:schemeClr val="accent3"/>
            </a:solidFill>
            <a:ln cmpd="sng">
              <a:noFill/>
            </a:ln>
          </c:spPr>
          <c:dLbls>
            <c:numFmt formatCode="General" sourceLinked="1"/>
            <c:txPr>
              <a:bodyPr/>
              <a:lstStyle/>
              <a:p>
                <a:pPr lvl="0">
                  <a:defRPr b="0" i="0" sz="1000">
                    <a:solidFill>
                      <a:srgbClr val="000000"/>
                    </a:solidFill>
                    <a:latin typeface="Calibri"/>
                  </a:defRPr>
                </a:pPr>
              </a:p>
            </c:txPr>
            <c:showLegendKey val="0"/>
            <c:showVal val="1"/>
            <c:showCatName val="0"/>
            <c:showSerName val="0"/>
            <c:showPercent val="0"/>
            <c:showBubbleSize val="0"/>
          </c:dLbls>
          <c:cat>
            <c:strRef>
              <c:f>'STA MARIA2020'!$D$52:$I$52</c:f>
            </c:strRef>
          </c:cat>
          <c:val>
            <c:numRef>
              <c:f>'STA MARIA2020'!$D$55:$I$55</c:f>
              <c:numCache/>
            </c:numRef>
          </c:val>
        </c:ser>
        <c:axId val="1567648255"/>
        <c:axId val="865032667"/>
      </c:bar3DChart>
      <c:catAx>
        <c:axId val="156764825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rot="0"/>
          <a:lstStyle/>
          <a:p>
            <a:pPr lvl="0">
              <a:defRPr b="0" i="0" sz="1000">
                <a:solidFill>
                  <a:srgbClr val="000000"/>
                </a:solidFill>
                <a:latin typeface="Calibri"/>
              </a:defRPr>
            </a:pPr>
          </a:p>
        </c:txPr>
        <c:crossAx val="865032667"/>
      </c:catAx>
      <c:valAx>
        <c:axId val="865032667"/>
        <c:scaling>
          <c:orientation val="minMax"/>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rot="0"/>
          <a:lstStyle/>
          <a:p>
            <a:pPr lvl="0">
              <a:defRPr b="0" i="0" sz="1000">
                <a:solidFill>
                  <a:srgbClr val="000000"/>
                </a:solidFill>
                <a:latin typeface="Calibri"/>
              </a:defRPr>
            </a:pPr>
          </a:p>
        </c:txPr>
        <c:crossAx val="1567648255"/>
      </c:valAx>
    </c:plotArea>
    <c:legend>
      <c:legendPos val="r"/>
      <c:layout>
        <c:manualLayout>
          <c:xMode val="edge"/>
          <c:yMode val="edge"/>
          <c:x val="0.07141449503940991"/>
          <c:y val="0.9156563393022346"/>
        </c:manualLayout>
      </c:layout>
      <c:overlay val="0"/>
      <c:txPr>
        <a:bodyPr/>
        <a:lstStyle/>
        <a:p>
          <a:pPr lvl="0">
            <a:defRPr b="0" i="0" sz="500">
              <a:solidFill>
                <a:srgbClr val="000000"/>
              </a:solidFill>
              <a:latin typeface="Calibri"/>
            </a:defRPr>
          </a:pPr>
        </a:p>
      </c:txPr>
    </c:legend>
    <c:plotVisOnly val="1"/>
  </c:chart>
</c:chartSpace>
</file>

<file path=xl/charts/chart1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INDICADORES  FACTURACION Y RECAUDO DEL CORRIENTE
SANTA MARIA
</a:t>
            </a:r>
          </a:p>
        </c:rich>
      </c:tx>
      <c:layout>
        <c:manualLayout>
          <c:xMode val="edge"/>
          <c:yMode val="edge"/>
          <c:x val="0.2699688431957835"/>
          <c:y val="0.032303370191111416"/>
        </c:manualLayout>
      </c:layout>
      <c:overlay val="0"/>
    </c:title>
    <c:view3D>
      <c:rotX val="15"/>
      <c:rotY val="20"/>
      <c:depthPercent val="100"/>
      <c:rAngAx val="1"/>
    </c:view3D>
    <c:plotArea>
      <c:layout/>
      <c:bar3DChart>
        <c:barDir val="col"/>
        <c:grouping val="clustered"/>
        <c:ser>
          <c:idx val="0"/>
          <c:order val="0"/>
          <c:tx>
            <c:v>Total Facturado Corriente</c:v>
          </c:tx>
          <c:spPr>
            <a:solidFill>
              <a:srgbClr val="7030A0"/>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'STA MARIA2020'!$D$42:$K$42</c:f>
            </c:strRef>
          </c:cat>
          <c:val>
            <c:numRef>
              <c:f>'STA MARIA2020'!$D$43:$K$43</c:f>
              <c:numCache/>
            </c:numRef>
          </c:val>
        </c:ser>
        <c:ser>
          <c:idx val="1"/>
          <c:order val="1"/>
          <c:tx>
            <c:v>Total Recaudado Corriente</c:v>
          </c:tx>
          <c:spPr>
            <a:solidFill>
              <a:srgbClr val="B91777"/>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'STA MARIA2020'!$D$42:$K$42</c:f>
            </c:strRef>
          </c:cat>
          <c:val>
            <c:numRef>
              <c:f>'STA MARIA2020'!$D$44:$K$44</c:f>
              <c:numCache/>
            </c:numRef>
          </c:val>
        </c:ser>
        <c:axId val="486735107"/>
        <c:axId val="1617962583"/>
      </c:bar3DChart>
      <c:catAx>
        <c:axId val="48673510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i="0">
                <a:solidFill>
                  <a:srgbClr val="000000"/>
                </a:solidFill>
                <a:latin typeface="Tahoma"/>
              </a:defRPr>
            </a:pPr>
          </a:p>
        </c:txPr>
        <c:crossAx val="1617962583"/>
      </c:catAx>
      <c:valAx>
        <c:axId val="161796258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1" i="0">
                <a:solidFill>
                  <a:srgbClr val="000000"/>
                </a:solidFill>
                <a:latin typeface="Tahoma"/>
              </a:defRPr>
            </a:pPr>
          </a:p>
        </c:txPr>
        <c:crossAx val="486735107"/>
      </c:valAx>
    </c:plotArea>
    <c:legend>
      <c:legendPos val="r"/>
      <c:layout>
        <c:manualLayout>
          <c:xMode val="edge"/>
          <c:yMode val="edge"/>
          <c:x val="0.6564543334482892"/>
          <c:y val="0.4816272170381884"/>
        </c:manualLayout>
      </c:layout>
      <c:overlay val="0"/>
      <c:txPr>
        <a:bodyPr/>
        <a:lstStyle/>
        <a:p>
          <a:pPr lvl="0">
            <a:defRPr b="1" i="0" sz="1000">
              <a:solidFill>
                <a:srgbClr val="1A1A1A"/>
              </a:solidFill>
              <a:latin typeface="Tahoma"/>
            </a:defRPr>
          </a:pPr>
        </a:p>
      </c:txPr>
    </c:legend>
    <c:plotVisOnly val="1"/>
  </c:chart>
  <c:spPr>
    <a:solidFill>
      <a:srgbClr val="5F497A"/>
    </a:solidFill>
  </c:spPr>
</c:chartSpace>
</file>

<file path=xl/charts/chart1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a:solidFill>
                  <a:srgbClr val="757575"/>
                </a:solidFill>
                <a:latin typeface="+mn-lt"/>
              </a:defRPr>
            </a:pPr>
            <a:r>
              <a:rPr b="1" i="0">
                <a:solidFill>
                  <a:srgbClr val="757575"/>
                </a:solidFill>
                <a:latin typeface="+mn-lt"/>
              </a:rPr>
              <a:t>INDICADORES  FACTURACION Y RECAUDO DE LA DEUDA
SANTA MARIA
</a:t>
            </a:r>
          </a:p>
        </c:rich>
      </c:tx>
      <c:layout>
        <c:manualLayout>
          <c:xMode val="edge"/>
          <c:yMode val="edge"/>
          <c:x val="0.2699688431957836"/>
          <c:y val="0.032303370191111416"/>
        </c:manualLayout>
      </c:layout>
      <c:overlay val="0"/>
    </c:title>
    <c:view3D>
      <c:rotX val="15"/>
      <c:rotY val="20"/>
      <c:depthPercent val="100"/>
      <c:rAngAx val="1"/>
    </c:view3D>
    <c:plotArea>
      <c:layout/>
      <c:bar3DChart>
        <c:barDir val="col"/>
        <c:grouping val="clustered"/>
        <c:ser>
          <c:idx val="0"/>
          <c:order val="0"/>
          <c:tx>
            <c:v>Total Facturado deuda</c:v>
          </c:tx>
          <c:spPr>
            <a:solidFill>
              <a:srgbClr val="7030A0"/>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'STA MARIA2020'!$D$45:$K$45</c:f>
            </c:strRef>
          </c:cat>
          <c:val>
            <c:numRef>
              <c:f>'STA MARIA2020'!$D$46:$K$46</c:f>
              <c:numCache/>
            </c:numRef>
          </c:val>
        </c:ser>
        <c:ser>
          <c:idx val="1"/>
          <c:order val="1"/>
          <c:tx>
            <c:v>Total Recaudado deuda</c:v>
          </c:tx>
          <c:spPr>
            <a:solidFill>
              <a:schemeClr val="accent2"/>
            </a:solidFill>
            <a:ln cmpd="sng">
              <a:noFill/>
            </a:ln>
          </c:spPr>
          <c:dLbls>
            <c:numFmt formatCode="General" sourceLinked="1"/>
            <c:txPr>
              <a:bodyPr/>
              <a:lstStyle/>
              <a:p>
                <a:pPr lvl="0">
                  <a:defRPr b="1" i="0" sz="700"/>
                </a:pPr>
              </a:p>
            </c:txPr>
            <c:showLegendKey val="0"/>
            <c:showVal val="1"/>
            <c:showCatName val="0"/>
            <c:showSerName val="0"/>
            <c:showPercent val="0"/>
            <c:showBubbleSize val="0"/>
          </c:dLbls>
          <c:cat>
            <c:strRef>
              <c:f>'STA MARIA2020'!$D$45:$K$45</c:f>
            </c:strRef>
          </c:cat>
          <c:val>
            <c:numRef>
              <c:f>'STA MARIA2020'!$D$47:$K$47</c:f>
              <c:numCache/>
            </c:numRef>
          </c:val>
        </c:ser>
        <c:axId val="1157021158"/>
        <c:axId val="1930063643"/>
      </c:bar3DChart>
      <c:catAx>
        <c:axId val="115702115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1" i="0">
                <a:solidFill>
                  <a:srgbClr val="000000"/>
                </a:solidFill>
                <a:latin typeface="Tahoma"/>
              </a:defRPr>
            </a:pPr>
          </a:p>
        </c:txPr>
        <c:crossAx val="1930063643"/>
      </c:catAx>
      <c:valAx>
        <c:axId val="193006364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1" i="0">
                <a:solidFill>
                  <a:srgbClr val="000000"/>
                </a:solidFill>
                <a:latin typeface="Tahoma"/>
              </a:defRPr>
            </a:pPr>
          </a:p>
        </c:txPr>
        <c:crossAx val="1157021158"/>
      </c:valAx>
    </c:plotArea>
    <c:legend>
      <c:legendPos val="r"/>
      <c:layout>
        <c:manualLayout>
          <c:xMode val="edge"/>
          <c:yMode val="edge"/>
          <c:x val="0.6933133532874817"/>
          <c:y val="0.4816272170381884"/>
        </c:manualLayout>
      </c:layout>
      <c:overlay val="0"/>
      <c:txPr>
        <a:bodyPr/>
        <a:lstStyle/>
        <a:p>
          <a:pPr lvl="0">
            <a:defRPr b="1" i="0" sz="1000">
              <a:solidFill>
                <a:srgbClr val="1A1A1A"/>
              </a:solidFill>
              <a:latin typeface="Tahoma"/>
            </a:defRPr>
          </a:pPr>
        </a:p>
      </c:txPr>
    </c:legend>
    <c:plotVisOnly val="1"/>
  </c:chart>
  <c:spPr>
    <a:solidFill>
      <a:srgbClr val="5F497A"/>
    </a:solidFill>
  </c:spPr>
</c:chartSpace>
</file>

<file path=xl/charts/chart1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view3D>
      <c:rotX val="15"/>
      <c:rotY val="20"/>
      <c:depthPercent val="100"/>
      <c:rAngAx val="1"/>
    </c:view3D>
    <c:plotArea>
      <c:layout>
        <c:manualLayout>
          <c:xMode val="edge"/>
          <c:yMode val="edge"/>
          <c:x val="0.1927613053173949"/>
          <c:y val="0.17701375076360004"/>
          <c:w val="0.6073973728605345"/>
          <c:h val="0.682715806357541"/>
        </c:manualLayout>
      </c:layout>
      <c:bar3DChart>
        <c:barDir val="col"/>
        <c:grouping val="clustered"/>
        <c:ser>
          <c:idx val="0"/>
          <c:order val="0"/>
          <c:tx>
            <c:v>Índice de Agua No Contabilizada (%)</c:v>
          </c:tx>
          <c:spPr>
            <a:solidFill>
              <a:schemeClr val="accent1"/>
            </a:solidFill>
            <a:ln cmpd="sng">
              <a:noFill/>
            </a:ln>
          </c:spPr>
          <c:dLbls>
            <c:numFmt formatCode="General" sourceLinked="1"/>
            <c:txPr>
              <a:bodyPr/>
              <a:lstStyle/>
              <a:p>
                <a:pPr lvl="0">
                  <a:defRPr b="1" i="0"/>
                </a:pPr>
              </a:p>
            </c:txPr>
            <c:showLegendKey val="0"/>
            <c:showVal val="1"/>
            <c:showCatName val="0"/>
            <c:showSerName val="0"/>
            <c:showPercent val="0"/>
            <c:showBubbleSize val="0"/>
          </c:dLbls>
          <c:cat>
            <c:strRef>
              <c:f>'STA MARIA2020'!$D$52:$K$52</c:f>
            </c:strRef>
          </c:cat>
          <c:val>
            <c:numRef>
              <c:f>'STA MARIA2020'!$D$57:$K$57</c:f>
              <c:numCache/>
            </c:numRef>
          </c:val>
        </c:ser>
        <c:axId val="383860308"/>
        <c:axId val="171388674"/>
      </c:bar3DChart>
      <c:catAx>
        <c:axId val="38386030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spPr/>
        <c:txPr>
          <a:bodyPr/>
          <a:lstStyle/>
          <a:p>
            <a:pPr lvl="0">
              <a:defRPr b="1" i="0" sz="800">
                <a:solidFill>
                  <a:srgbClr val="000000"/>
                </a:solidFill>
                <a:latin typeface="+mn-lt"/>
              </a:defRPr>
            </a:pPr>
          </a:p>
        </c:txPr>
        <c:crossAx val="171388674"/>
      </c:catAx>
      <c:valAx>
        <c:axId val="17138867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383860308"/>
      </c:valAx>
    </c:plotArea>
    <c:legend>
      <c:legendPos val="r"/>
      <c:layout>
        <c:manualLayout>
          <c:xMode val="edge"/>
          <c:yMode val="edge"/>
          <c:x val="0.7846509728372105"/>
          <c:y val="0.5018729950422844"/>
        </c:manualLayout>
      </c:layout>
      <c:overlay val="0"/>
      <c:txPr>
        <a:bodyPr/>
        <a:lstStyle/>
        <a:p>
          <a:pPr lvl="0">
            <a:defRPr b="1" i="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'02'!$C$16:$N$16</c:f>
            </c:strRef>
          </c:cat>
          <c:val>
            <c:numRef>
              <c:f>'02'!$C$18:$N$18</c:f>
              <c:numCache/>
            </c:numRef>
          </c:val>
          <c:smooth val="0"/>
        </c:ser>
        <c:ser>
          <c:idx val="1"/>
          <c:order val="1"/>
          <c:tx>
            <c:v>RESULTADOS DE LA VIGENCIA</c:v>
          </c:tx>
          <c:spPr>
            <a:ln cmpd="sng">
              <a:solidFill>
                <a:srgbClr val="C0504D"/>
              </a:solidFill>
            </a:ln>
          </c:spPr>
          <c:marker>
            <c:symbol val="none"/>
          </c:marker>
          <c:cat>
            <c:strRef>
              <c:f>'02'!$C$16:$N$16</c:f>
            </c:strRef>
          </c:cat>
          <c:val>
            <c:numRef>
              <c:f>'02'!$C$19:$N$19</c:f>
              <c:numCache/>
            </c:numRef>
          </c:val>
          <c:smooth val="0"/>
        </c:ser>
        <c:axId val="1897308440"/>
        <c:axId val="2046319809"/>
      </c:lineChart>
      <c:catAx>
        <c:axId val="189730844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46319809"/>
      </c:catAx>
      <c:valAx>
        <c:axId val="204631980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897308440"/>
      </c:valAx>
    </c:plotArea>
    <c:legend>
      <c:legendPos val="r"/>
      <c:overlay val="0"/>
      <c:txPr>
        <a:bodyPr/>
        <a:lstStyle/>
        <a:p>
          <a:pPr lvl="0">
            <a:defRPr b="1" i="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'03'!$C$16:$N$16</c:f>
            </c:strRef>
          </c:cat>
          <c:val>
            <c:numRef>
              <c:f>'03'!$C$18:$N$18</c:f>
              <c:numCache/>
            </c:numRef>
          </c:val>
          <c:smooth val="0"/>
        </c:ser>
        <c:ser>
          <c:idx val="1"/>
          <c:order val="1"/>
          <c:tx>
            <c:v>RESULTADOS DE LA VIGENCIA</c:v>
          </c:tx>
          <c:spPr>
            <a:ln cmpd="sng">
              <a:solidFill>
                <a:srgbClr val="C0504D"/>
              </a:solidFill>
            </a:ln>
          </c:spPr>
          <c:marker>
            <c:symbol val="none"/>
          </c:marker>
          <c:cat>
            <c:strRef>
              <c:f>'03'!$C$16:$N$16</c:f>
            </c:strRef>
          </c:cat>
          <c:val>
            <c:numRef>
              <c:f>'03'!$C$19:$N$19</c:f>
              <c:numCache/>
            </c:numRef>
          </c:val>
          <c:smooth val="0"/>
        </c:ser>
        <c:axId val="410376620"/>
        <c:axId val="1532259897"/>
      </c:lineChart>
      <c:catAx>
        <c:axId val="41037662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532259897"/>
      </c:catAx>
      <c:valAx>
        <c:axId val="153225989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410376620"/>
      </c:valAx>
    </c:plotArea>
    <c:legend>
      <c:legendPos val="r"/>
      <c:overlay val="0"/>
      <c:txPr>
        <a:bodyPr/>
        <a:lstStyle/>
        <a:p>
          <a:pPr lvl="0">
            <a:defRPr b="1" i="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'04'!$C$16:$N$16</c:f>
            </c:strRef>
          </c:cat>
          <c:val>
            <c:numRef>
              <c:f>'04'!$C$18:$N$18</c:f>
              <c:numCache/>
            </c:numRef>
          </c:val>
          <c:smooth val="0"/>
        </c:ser>
        <c:axId val="821452912"/>
        <c:axId val="719765207"/>
      </c:lineChart>
      <c:catAx>
        <c:axId val="82145291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719765207"/>
      </c:catAx>
      <c:valAx>
        <c:axId val="71976520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821452912"/>
      </c:valAx>
    </c:plotArea>
    <c:legend>
      <c:legendPos val="r"/>
      <c:overlay val="0"/>
      <c:txPr>
        <a:bodyPr/>
        <a:lstStyle/>
        <a:p>
          <a:pPr lvl="0">
            <a:defRPr b="1" i="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'05'!$C$16:$N$16</c:f>
            </c:strRef>
          </c:cat>
          <c:val>
            <c:numRef>
              <c:f>'05'!$C$18:$N$18</c:f>
              <c:numCache/>
            </c:numRef>
          </c:val>
          <c:smooth val="0"/>
        </c:ser>
        <c:ser>
          <c:idx val="1"/>
          <c:order val="1"/>
          <c:tx>
            <c:v>RESULTADOS DE LA VIGENCIA</c:v>
          </c:tx>
          <c:spPr>
            <a:ln cmpd="sng">
              <a:solidFill>
                <a:srgbClr val="C0504D"/>
              </a:solidFill>
            </a:ln>
          </c:spPr>
          <c:marker>
            <c:symbol val="none"/>
          </c:marker>
          <c:cat>
            <c:strRef>
              <c:f>'05'!$C$16:$N$16</c:f>
            </c:strRef>
          </c:cat>
          <c:val>
            <c:numRef>
              <c:f>'05'!$C$19:$N$19</c:f>
              <c:numCache/>
            </c:numRef>
          </c:val>
          <c:smooth val="0"/>
        </c:ser>
        <c:axId val="1786052894"/>
        <c:axId val="978927714"/>
      </c:lineChart>
      <c:catAx>
        <c:axId val="178605289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978927714"/>
      </c:catAx>
      <c:valAx>
        <c:axId val="97892771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786052894"/>
      </c:valAx>
    </c:plotArea>
    <c:legend>
      <c:legendPos val="r"/>
      <c:overlay val="0"/>
      <c:txPr>
        <a:bodyPr/>
        <a:lstStyle/>
        <a:p>
          <a:pPr lvl="0">
            <a:defRPr b="1" i="0">
              <a:solidFill>
                <a:srgbClr val="1A1A1A"/>
              </a:solidFill>
              <a:latin typeface="+mn-lt"/>
            </a:defRPr>
          </a:pPr>
        </a:p>
      </c:txPr>
    </c:legend>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'06'!$C$16:$N$16</c:f>
            </c:strRef>
          </c:cat>
          <c:val>
            <c:numRef>
              <c:f>'06'!$C$18:$N$18</c:f>
              <c:numCache/>
            </c:numRef>
          </c:val>
          <c:smooth val="0"/>
        </c:ser>
        <c:ser>
          <c:idx val="1"/>
          <c:order val="1"/>
          <c:tx>
            <c:v>RESULTADOS DE LA VIGENCIA</c:v>
          </c:tx>
          <c:spPr>
            <a:ln cmpd="sng">
              <a:solidFill>
                <a:srgbClr val="C0504D"/>
              </a:solidFill>
            </a:ln>
          </c:spPr>
          <c:marker>
            <c:symbol val="none"/>
          </c:marker>
          <c:cat>
            <c:strRef>
              <c:f>'06'!$C$16:$N$16</c:f>
            </c:strRef>
          </c:cat>
          <c:val>
            <c:numRef>
              <c:f>'06'!$C$19:$N$19</c:f>
              <c:numCache/>
            </c:numRef>
          </c:val>
          <c:smooth val="0"/>
        </c:ser>
        <c:axId val="1197075753"/>
        <c:axId val="897285212"/>
      </c:lineChart>
      <c:catAx>
        <c:axId val="119707575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897285212"/>
      </c:catAx>
      <c:valAx>
        <c:axId val="89728521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197075753"/>
      </c:valAx>
    </c:plotArea>
    <c:legend>
      <c:legendPos val="r"/>
      <c:overlay val="0"/>
      <c:txPr>
        <a:bodyPr/>
        <a:lstStyle/>
        <a:p>
          <a:pPr lvl="0">
            <a:defRPr b="1" i="0">
              <a:solidFill>
                <a:srgbClr val="1A1A1A"/>
              </a:solidFill>
              <a:latin typeface="+mn-lt"/>
            </a:defRPr>
          </a:pPr>
        </a:p>
      </c:txPr>
    </c:legend>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'07'!$C$16:$N$16</c:f>
            </c:strRef>
          </c:cat>
          <c:val>
            <c:numRef>
              <c:f>'07'!$C$18:$N$18</c:f>
              <c:numCache/>
            </c:numRef>
          </c:val>
          <c:smooth val="0"/>
        </c:ser>
        <c:axId val="1387218113"/>
        <c:axId val="223329474"/>
      </c:lineChart>
      <c:catAx>
        <c:axId val="138721811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23329474"/>
      </c:catAx>
      <c:valAx>
        <c:axId val="22332947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387218113"/>
      </c:valAx>
    </c:plotArea>
    <c:legend>
      <c:legendPos val="r"/>
      <c:overlay val="0"/>
      <c:txPr>
        <a:bodyPr/>
        <a:lstStyle/>
        <a:p>
          <a:pPr lvl="0">
            <a:defRPr b="1" i="0">
              <a:solidFill>
                <a:srgbClr val="1A1A1A"/>
              </a:solidFill>
              <a:latin typeface="+mn-lt"/>
            </a:defRPr>
          </a:pPr>
        </a:p>
      </c:txPr>
    </c:legend>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'08'!$C$16:$N$16</c:f>
            </c:strRef>
          </c:cat>
          <c:val>
            <c:numRef>
              <c:f>'08'!$C$18:$N$18</c:f>
              <c:numCache/>
            </c:numRef>
          </c:val>
          <c:smooth val="0"/>
        </c:ser>
        <c:ser>
          <c:idx val="1"/>
          <c:order val="1"/>
          <c:tx>
            <c:v>RESULTADOS DE LA VIGENCIA</c:v>
          </c:tx>
          <c:spPr>
            <a:ln cmpd="sng">
              <a:solidFill>
                <a:srgbClr val="C0504D"/>
              </a:solidFill>
            </a:ln>
          </c:spPr>
          <c:marker>
            <c:symbol val="none"/>
          </c:marker>
          <c:cat>
            <c:strRef>
              <c:f>'08'!$C$16:$N$16</c:f>
            </c:strRef>
          </c:cat>
          <c:val>
            <c:numRef>
              <c:f>'08'!$C$19:$N$19</c:f>
              <c:numCache/>
            </c:numRef>
          </c:val>
          <c:smooth val="0"/>
        </c:ser>
        <c:axId val="586859227"/>
        <c:axId val="1664450595"/>
      </c:lineChart>
      <c:catAx>
        <c:axId val="586859227"/>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664450595"/>
      </c:catAx>
      <c:valAx>
        <c:axId val="166445059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586859227"/>
      </c:valAx>
    </c:plotArea>
    <c:legend>
      <c:legendPos val="r"/>
      <c:overlay val="0"/>
      <c:txPr>
        <a:bodyPr/>
        <a:lstStyle/>
        <a:p>
          <a:pPr lvl="0">
            <a:defRPr b="1" i="0">
              <a:solidFill>
                <a:srgbClr val="1A1A1A"/>
              </a:solidFill>
              <a:latin typeface="+mn-lt"/>
            </a:defRPr>
          </a:pPr>
        </a:p>
      </c:txPr>
    </c:legend>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'09'!$C$16:$N$16</c:f>
            </c:strRef>
          </c:cat>
          <c:val>
            <c:numRef>
              <c:f>'09'!$C$18:$N$18</c:f>
              <c:numCache/>
            </c:numRef>
          </c:val>
          <c:smooth val="0"/>
        </c:ser>
        <c:axId val="1924960290"/>
        <c:axId val="667350841"/>
      </c:lineChart>
      <c:catAx>
        <c:axId val="1924960290"/>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667350841"/>
      </c:catAx>
      <c:valAx>
        <c:axId val="66735084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1" i="0">
                <a:solidFill>
                  <a:srgbClr val="000000"/>
                </a:solidFill>
                <a:latin typeface="+mn-lt"/>
              </a:defRPr>
            </a:pPr>
          </a:p>
        </c:txPr>
        <c:crossAx val="1924960290"/>
      </c:valAx>
    </c:plotArea>
    <c:legend>
      <c:legendPos val="r"/>
      <c:overlay val="0"/>
      <c:txPr>
        <a:bodyPr/>
        <a:lstStyle/>
        <a:p>
          <a:pPr lvl="0">
            <a:defRPr b="1" i="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 Id="rId2"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 Id="rId2"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 Id="rId2"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 Id="rId2"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 Id="rId2"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chart" Target="../charts/chart14.xml"/><Relationship Id="rId2"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 Id="rId2" Type="http://schemas.openxmlformats.org/officeDocument/2006/relationships/chart" Target="../charts/chart16.xml"/><Relationship Id="rId3" Type="http://schemas.openxmlformats.org/officeDocument/2006/relationships/chart" Target="../charts/chart17.xml"/><Relationship Id="rId4"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 Id="rId2"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 Id="rId2"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 Id="rId2"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 Id="rId2"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561975</xdr:colOff>
      <xdr:row>0</xdr:row>
      <xdr:rowOff>57150</xdr:rowOff>
    </xdr:from>
    <xdr:ext cx="1400175" cy="5238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9" name="Chart 9"/>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0" name="Chart 10"/>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1" name="Chart 1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2" name="Chart 1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3" name="Chart 1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14" name="Chart 1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171450</xdr:colOff>
      <xdr:row>71</xdr:row>
      <xdr:rowOff>114300</xdr:rowOff>
    </xdr:from>
    <xdr:ext cx="4943475" cy="3705225"/>
    <xdr:graphicFrame>
      <xdr:nvGraphicFramePr>
        <xdr:cNvPr id="15" name="Chart 1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352425</xdr:colOff>
      <xdr:row>96</xdr:row>
      <xdr:rowOff>57150</xdr:rowOff>
    </xdr:from>
    <xdr:ext cx="5610225" cy="4610100"/>
    <xdr:graphicFrame>
      <xdr:nvGraphicFramePr>
        <xdr:cNvPr id="16" name="Chart 16"/>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1</xdr:col>
      <xdr:colOff>419100</xdr:colOff>
      <xdr:row>127</xdr:row>
      <xdr:rowOff>76200</xdr:rowOff>
    </xdr:from>
    <xdr:ext cx="5543550" cy="4648200"/>
    <xdr:graphicFrame>
      <xdr:nvGraphicFramePr>
        <xdr:cNvPr id="17" name="Chart 17"/>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6</xdr:col>
      <xdr:colOff>257175</xdr:colOff>
      <xdr:row>72</xdr:row>
      <xdr:rowOff>57150</xdr:rowOff>
    </xdr:from>
    <xdr:ext cx="5972175" cy="3019425"/>
    <xdr:graphicFrame>
      <xdr:nvGraphicFramePr>
        <xdr:cNvPr id="18" name="Chart 18"/>
        <xdr:cNvGraphicFramePr/>
      </xdr:nvGraphicFramePr>
      <xdr:xfrm>
        <a:off x="0" y="0"/>
        <a:ext cx="0" cy="0"/>
      </xdr:xfrm>
      <a:graphic>
        <a:graphicData uri="http://schemas.openxmlformats.org/drawingml/2006/chart">
          <c:chart r:id="rId4"/>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8562975"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83629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27</xdr:row>
      <xdr:rowOff>171450</xdr:rowOff>
    </xdr:from>
    <xdr:ext cx="8543925"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27</xdr:row>
      <xdr:rowOff>171450</xdr:rowOff>
    </xdr:from>
    <xdr:ext cx="8620125"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6" name="Chart 6"/>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7" name="Chart 7"/>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26</xdr:row>
      <xdr:rowOff>171450</xdr:rowOff>
    </xdr:from>
    <xdr:ext cx="7639050" cy="2905125"/>
    <xdr:graphicFrame>
      <xdr:nvGraphicFramePr>
        <xdr:cNvPr id="8" name="Chart 8"/>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485775</xdr:colOff>
      <xdr:row>0</xdr:row>
      <xdr:rowOff>0</xdr:rowOff>
    </xdr:from>
    <xdr:ext cx="1000125" cy="657225"/>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WILSON" id="{efaeaab1-2d7f-4e87-a966-504debd0705c}"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6" dT="2026-07-22T04:02:54.00" personId="{efaeaab1-2d7f-4e87-a966-504debd0705c}" id="{cc615525-e5e4-4e63-8fe7-d587ed5f972b}" done="0">
    <x18tc:text xml:space="preserve">Importante aquí establecer para cada indicador la meta final deseada de forma razonable, que se proyecta al cierre de la presente vigencia</x18tc:text>
  </x18tc:threadedComment>
  <x18tc:threadedComment ref="J6" dT="2026-07-22T04:02:54.00" personId="{efaeaab1-2d7f-4e87-a966-504debd0705c}" id="{e484a9be-2293-46cd-a354-335c0356fcd2}" done="0">
    <x18tc:text xml:space="preserve">Recomendable dejar como línea base el resultado final del indicador en el año inmediatamente anterior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12" width="4.0"/>
    <col customWidth="1" min="13" max="24" width="4.29"/>
    <col customWidth="1" min="25" max="25" width="5.14"/>
    <col customWidth="1" hidden="1" min="26" max="26" width="11.43"/>
  </cols>
  <sheetData>
    <row r="1" ht="12.0" customHeight="1">
      <c r="A1" s="1"/>
      <c r="B1" s="2"/>
      <c r="C1" s="2"/>
      <c r="D1" s="3" t="s">
        <v>0</v>
      </c>
      <c r="E1" s="2"/>
      <c r="F1" s="2"/>
      <c r="G1" s="2"/>
      <c r="H1" s="2"/>
      <c r="I1" s="2"/>
      <c r="J1" s="2"/>
      <c r="K1" s="2"/>
      <c r="L1" s="2"/>
      <c r="M1" s="2"/>
      <c r="N1" s="2"/>
      <c r="O1" s="2"/>
      <c r="P1" s="2"/>
      <c r="Q1" s="2"/>
      <c r="R1" s="2"/>
      <c r="S1" s="2"/>
      <c r="T1" s="2"/>
      <c r="U1" s="2"/>
      <c r="V1" s="2"/>
      <c r="W1" s="2"/>
      <c r="X1" s="4"/>
    </row>
    <row r="2" ht="12.0" customHeight="1">
      <c r="A2" s="5"/>
      <c r="D2" s="6" t="s">
        <v>1</v>
      </c>
      <c r="X2" s="7"/>
    </row>
    <row r="3" ht="15.0" customHeight="1">
      <c r="A3" s="5"/>
      <c r="D3" s="8" t="s">
        <v>2</v>
      </c>
      <c r="E3" s="2"/>
      <c r="F3" s="2"/>
      <c r="G3" s="2"/>
      <c r="H3" s="2"/>
      <c r="I3" s="2"/>
      <c r="J3" s="2"/>
      <c r="K3" s="2"/>
      <c r="L3" s="2"/>
      <c r="M3" s="2"/>
      <c r="N3" s="2"/>
      <c r="O3" s="2"/>
      <c r="P3" s="2"/>
      <c r="Q3" s="2"/>
      <c r="R3" s="2"/>
      <c r="S3" s="2"/>
      <c r="T3" s="2"/>
      <c r="U3" s="2"/>
      <c r="V3" s="2"/>
      <c r="W3" s="2"/>
      <c r="X3" s="4"/>
    </row>
    <row r="4" ht="10.5" customHeight="1">
      <c r="A4" s="9"/>
      <c r="B4" s="10"/>
      <c r="C4" s="10"/>
      <c r="D4" s="11" t="s">
        <v>3</v>
      </c>
      <c r="E4" s="10"/>
      <c r="F4" s="10"/>
      <c r="G4" s="10"/>
      <c r="H4" s="10"/>
      <c r="I4" s="10"/>
      <c r="J4" s="10"/>
      <c r="K4" s="10"/>
      <c r="L4" s="10"/>
      <c r="M4" s="10"/>
      <c r="N4" s="10"/>
      <c r="O4" s="10"/>
      <c r="P4" s="10"/>
      <c r="Q4" s="10"/>
      <c r="R4" s="10"/>
      <c r="S4" s="10"/>
      <c r="T4" s="10"/>
      <c r="U4" s="10"/>
      <c r="V4" s="10"/>
      <c r="W4" s="10"/>
      <c r="X4" s="12"/>
    </row>
    <row r="5" ht="18.0" customHeight="1">
      <c r="A5" s="13" t="s">
        <v>4</v>
      </c>
      <c r="B5" s="14"/>
      <c r="C5" s="14"/>
      <c r="D5" s="14"/>
      <c r="E5" s="14"/>
      <c r="F5" s="14"/>
      <c r="G5" s="14"/>
      <c r="H5" s="14"/>
      <c r="I5" s="15"/>
      <c r="J5" s="16" t="s">
        <v>5</v>
      </c>
      <c r="K5" s="14"/>
      <c r="L5" s="14"/>
      <c r="M5" s="14"/>
      <c r="N5" s="14"/>
      <c r="O5" s="14"/>
      <c r="P5" s="14"/>
      <c r="Q5" s="14"/>
      <c r="R5" s="14"/>
      <c r="S5" s="14"/>
      <c r="T5" s="14"/>
      <c r="U5" s="14"/>
      <c r="V5" s="14"/>
      <c r="W5" s="14"/>
      <c r="X5" s="17"/>
    </row>
    <row r="6" ht="30.75" customHeight="1">
      <c r="A6" s="18" t="s">
        <v>6</v>
      </c>
      <c r="B6" s="4"/>
      <c r="C6" s="19" t="s">
        <v>7</v>
      </c>
      <c r="D6" s="19" t="s">
        <v>8</v>
      </c>
      <c r="E6" s="20" t="s">
        <v>9</v>
      </c>
      <c r="F6" s="20" t="s">
        <v>10</v>
      </c>
      <c r="G6" s="21" t="s">
        <v>11</v>
      </c>
      <c r="H6" s="14"/>
      <c r="I6" s="17"/>
      <c r="J6" s="22" t="s">
        <v>12</v>
      </c>
      <c r="K6" s="22" t="s">
        <v>13</v>
      </c>
      <c r="L6" s="23" t="s">
        <v>14</v>
      </c>
      <c r="M6" s="14"/>
      <c r="N6" s="14"/>
      <c r="O6" s="14"/>
      <c r="P6" s="14"/>
      <c r="Q6" s="14"/>
      <c r="R6" s="14"/>
      <c r="S6" s="14"/>
      <c r="T6" s="14"/>
      <c r="U6" s="14"/>
      <c r="V6" s="14"/>
      <c r="W6" s="14"/>
      <c r="X6" s="17"/>
    </row>
    <row r="7" ht="31.5" customHeight="1">
      <c r="A7" s="9"/>
      <c r="B7" s="12"/>
      <c r="C7" s="24"/>
      <c r="D7" s="24"/>
      <c r="E7" s="24"/>
      <c r="F7" s="24"/>
      <c r="G7" s="25" t="s">
        <v>15</v>
      </c>
      <c r="H7" s="26" t="s">
        <v>16</v>
      </c>
      <c r="I7" s="27" t="s">
        <v>17</v>
      </c>
      <c r="J7" s="24"/>
      <c r="K7" s="24"/>
      <c r="L7" s="28" t="s">
        <v>18</v>
      </c>
      <c r="M7" s="28" t="s">
        <v>19</v>
      </c>
      <c r="N7" s="28" t="s">
        <v>20</v>
      </c>
      <c r="O7" s="28" t="s">
        <v>21</v>
      </c>
      <c r="P7" s="28" t="s">
        <v>22</v>
      </c>
      <c r="Q7" s="28" t="s">
        <v>23</v>
      </c>
      <c r="R7" s="28" t="s">
        <v>24</v>
      </c>
      <c r="S7" s="28" t="s">
        <v>25</v>
      </c>
      <c r="T7" s="28" t="s">
        <v>26</v>
      </c>
      <c r="U7" s="28" t="s">
        <v>27</v>
      </c>
      <c r="V7" s="28" t="s">
        <v>28</v>
      </c>
      <c r="W7" s="28" t="s">
        <v>29</v>
      </c>
      <c r="X7" s="28" t="s">
        <v>30</v>
      </c>
      <c r="Y7" s="29"/>
      <c r="Z7" s="29"/>
    </row>
    <row r="8" ht="57.75" customHeight="1">
      <c r="A8" s="30" t="s">
        <v>31</v>
      </c>
      <c r="B8" s="31" t="s">
        <v>32</v>
      </c>
      <c r="C8" s="32" t="s">
        <v>33</v>
      </c>
      <c r="D8" s="33" t="s">
        <v>34</v>
      </c>
      <c r="E8" s="34" t="s">
        <v>35</v>
      </c>
      <c r="F8" s="34" t="s">
        <v>36</v>
      </c>
      <c r="G8" s="37" t="s">
        <v>37</v>
      </c>
      <c r="H8" s="37" t="s">
        <v>38</v>
      </c>
      <c r="I8" s="37" t="s">
        <v>39</v>
      </c>
      <c r="J8" s="39">
        <v>0.82</v>
      </c>
      <c r="K8" s="39">
        <v>0.85</v>
      </c>
      <c r="L8" s="39">
        <f>'01'!$O$19</f>
        <v>0.8928947171</v>
      </c>
      <c r="M8" s="39">
        <f>'01'!$C$19</f>
        <v>0.8555466008</v>
      </c>
      <c r="N8" s="39">
        <f>'01'!$D$19</f>
        <v>0.8255069453</v>
      </c>
      <c r="O8" s="39">
        <f>'01'!$E$19</f>
        <v>0.8422952298</v>
      </c>
      <c r="P8" s="39">
        <f>'01'!$F$19</f>
        <v>0.8528331647</v>
      </c>
      <c r="Q8" s="39">
        <f>'01'!$G$19</f>
        <v>0.8128523193</v>
      </c>
      <c r="R8" s="39">
        <f>'01'!$H$19</f>
        <v>1.547318572</v>
      </c>
      <c r="S8" s="39">
        <f>'01'!$I$19</f>
        <v>0.8441561307</v>
      </c>
      <c r="T8" s="39">
        <f>'01'!$J$19</f>
        <v>0.8703142835</v>
      </c>
      <c r="U8" s="39">
        <f>'01'!$K$19</f>
        <v>0.8555143987</v>
      </c>
      <c r="V8" s="39">
        <f>'01'!$L$19</f>
        <v>0.7951155735</v>
      </c>
      <c r="W8" s="39">
        <f>'01'!$M$19</f>
        <v>0.8188215142</v>
      </c>
      <c r="X8" s="39">
        <f>'01'!$N$19</f>
        <v>0.8348447924</v>
      </c>
      <c r="Y8" s="29"/>
      <c r="Z8" s="29"/>
    </row>
    <row r="9" ht="49.5" customHeight="1">
      <c r="A9" s="30" t="s">
        <v>45</v>
      </c>
      <c r="B9" s="31" t="s">
        <v>46</v>
      </c>
      <c r="C9" s="32" t="s">
        <v>47</v>
      </c>
      <c r="D9" s="33" t="s">
        <v>48</v>
      </c>
      <c r="E9" s="34" t="s">
        <v>35</v>
      </c>
      <c r="F9" s="34" t="s">
        <v>36</v>
      </c>
      <c r="G9" s="37" t="s">
        <v>49</v>
      </c>
      <c r="H9" s="37" t="s">
        <v>50</v>
      </c>
      <c r="I9" s="37" t="s">
        <v>39</v>
      </c>
      <c r="J9" s="39">
        <v>0.49</v>
      </c>
      <c r="K9" s="39">
        <v>0.6</v>
      </c>
      <c r="L9" s="39">
        <f>'02'!$O$19</f>
        <v>0.8962753723</v>
      </c>
      <c r="M9" s="39">
        <f>'02'!$C$19</f>
        <v>0.8511681048</v>
      </c>
      <c r="N9" s="39">
        <f>'02'!$D$19</f>
        <v>0.8205625028</v>
      </c>
      <c r="O9" s="39">
        <f>'02'!$E$19</f>
        <v>0.8409049435</v>
      </c>
      <c r="P9" s="39">
        <f>'02'!$F$19</f>
        <v>0.8556515272</v>
      </c>
      <c r="Q9" s="39">
        <f>'02'!$G$19</f>
        <v>0.8077193646</v>
      </c>
      <c r="R9" s="39">
        <f>'02'!$H$19</f>
        <v>1.524172456</v>
      </c>
      <c r="S9" s="39">
        <f>'02'!$I$19</f>
        <v>0.852775756</v>
      </c>
      <c r="T9" s="39">
        <f>'02'!$J$19</f>
        <v>0.8733072445</v>
      </c>
      <c r="U9" s="39">
        <f>'02'!$K$19</f>
        <v>0.8554080766</v>
      </c>
      <c r="V9" s="39">
        <f>'02'!$L$19</f>
        <v>0.801696961</v>
      </c>
      <c r="W9" s="39">
        <f>'02'!$M$19</f>
        <v>0.8395727753</v>
      </c>
      <c r="X9" s="39">
        <f>'02'!$N$19</f>
        <v>0.8470647476</v>
      </c>
      <c r="Y9" s="29"/>
      <c r="Z9" s="29"/>
    </row>
    <row r="10" ht="60.0" customHeight="1">
      <c r="A10" s="30" t="s">
        <v>57</v>
      </c>
      <c r="B10" s="31" t="s">
        <v>58</v>
      </c>
      <c r="C10" s="32" t="s">
        <v>59</v>
      </c>
      <c r="D10" s="33" t="s">
        <v>61</v>
      </c>
      <c r="E10" s="34" t="s">
        <v>35</v>
      </c>
      <c r="F10" s="34" t="s">
        <v>36</v>
      </c>
      <c r="G10" s="37" t="s">
        <v>64</v>
      </c>
      <c r="H10" s="37" t="s">
        <v>65</v>
      </c>
      <c r="I10" s="37" t="s">
        <v>67</v>
      </c>
      <c r="J10" s="73">
        <v>30.0</v>
      </c>
      <c r="K10" s="73">
        <v>20.0</v>
      </c>
      <c r="L10" s="73">
        <f>'03'!$O$19</f>
        <v>3.72055123</v>
      </c>
      <c r="M10" s="73">
        <f>'03'!$C$19</f>
        <v>5.014418763</v>
      </c>
      <c r="N10" s="73">
        <f>'03'!$D$19</f>
        <v>5.86949038</v>
      </c>
      <c r="O10" s="73">
        <f>'03'!$E$19</f>
        <v>5.60865138</v>
      </c>
      <c r="P10" s="73">
        <f>'03'!$F$19</f>
        <v>5.338075029</v>
      </c>
      <c r="Q10" s="73">
        <f>'03'!$G$19</f>
        <v>6.810763517</v>
      </c>
      <c r="R10" s="73">
        <f>'03'!$H$19</f>
        <v>-18.69872215</v>
      </c>
      <c r="S10" s="73">
        <f>'03'!$I$19</f>
        <v>5.963730869</v>
      </c>
      <c r="T10" s="73">
        <f>'03'!$J$19</f>
        <v>4.899068058</v>
      </c>
      <c r="U10" s="73">
        <f>'03'!$K$19</f>
        <v>5.682091773</v>
      </c>
      <c r="V10" s="73">
        <f>'03'!$L$19</f>
        <v>7.002034725</v>
      </c>
      <c r="W10" s="73">
        <f>'03'!$M$19</f>
        <v>6.062519131</v>
      </c>
      <c r="X10" s="73">
        <f>'03'!$N$19</f>
        <v>5.60410071</v>
      </c>
      <c r="Y10" s="29"/>
      <c r="Z10" s="29"/>
    </row>
    <row r="11" ht="52.5" customHeight="1">
      <c r="A11" s="30" t="s">
        <v>73</v>
      </c>
      <c r="B11" s="31" t="s">
        <v>74</v>
      </c>
      <c r="C11" s="32" t="s">
        <v>75</v>
      </c>
      <c r="D11" s="33" t="s">
        <v>76</v>
      </c>
      <c r="E11" s="34" t="s">
        <v>35</v>
      </c>
      <c r="F11" s="34" t="s">
        <v>36</v>
      </c>
      <c r="G11" s="37" t="s">
        <v>37</v>
      </c>
      <c r="H11" s="37" t="s">
        <v>38</v>
      </c>
      <c r="I11" s="37" t="s">
        <v>39</v>
      </c>
      <c r="J11" s="39">
        <v>0.14</v>
      </c>
      <c r="K11" s="39">
        <v>1.0</v>
      </c>
      <c r="L11" s="39" t="str">
        <f>'04'!$O$19</f>
        <v>-</v>
      </c>
      <c r="M11" s="39" t="str">
        <f>'04'!$C$19</f>
        <v>-</v>
      </c>
      <c r="N11" s="39" t="str">
        <f>'04'!$D$19</f>
        <v>-</v>
      </c>
      <c r="O11" s="39" t="str">
        <f>'04'!$E$19</f>
        <v>-</v>
      </c>
      <c r="P11" s="39" t="str">
        <f>'04'!$F$19</f>
        <v>-</v>
      </c>
      <c r="Q11" s="39" t="str">
        <f>'04'!$G$19</f>
        <v>-</v>
      </c>
      <c r="R11" s="39" t="str">
        <f>'04'!$H$19</f>
        <v>-</v>
      </c>
      <c r="S11" s="39" t="str">
        <f>'04'!$I$19</f>
        <v>-</v>
      </c>
      <c r="T11" s="39" t="str">
        <f>'04'!$J$19</f>
        <v>-</v>
      </c>
      <c r="U11" s="39" t="str">
        <f>'04'!$K$19</f>
        <v>-</v>
      </c>
      <c r="V11" s="39" t="str">
        <f>'04'!$L$19</f>
        <v>-</v>
      </c>
      <c r="W11" s="39" t="str">
        <f>'04'!$M$19</f>
        <v>-</v>
      </c>
      <c r="X11" s="39" t="str">
        <f>'04'!$N$19</f>
        <v>-</v>
      </c>
      <c r="Y11" s="29"/>
      <c r="Z11" s="29"/>
    </row>
    <row r="12" ht="60.0" customHeight="1">
      <c r="A12" s="30" t="s">
        <v>81</v>
      </c>
      <c r="B12" s="31" t="s">
        <v>82</v>
      </c>
      <c r="C12" s="32" t="s">
        <v>83</v>
      </c>
      <c r="D12" s="33" t="s">
        <v>84</v>
      </c>
      <c r="E12" s="34" t="s">
        <v>35</v>
      </c>
      <c r="F12" s="34" t="s">
        <v>36</v>
      </c>
      <c r="G12" s="37" t="s">
        <v>37</v>
      </c>
      <c r="H12" s="37" t="s">
        <v>38</v>
      </c>
      <c r="I12" s="37" t="s">
        <v>39</v>
      </c>
      <c r="J12" s="39">
        <v>0.99</v>
      </c>
      <c r="K12" s="39">
        <v>1.0</v>
      </c>
      <c r="L12" s="39">
        <f>'05'!$O$19</f>
        <v>0.9944074567</v>
      </c>
      <c r="M12" s="39">
        <f>'05'!$C$19</f>
        <v>0.9942622951</v>
      </c>
      <c r="N12" s="39">
        <f>'05'!$D$19</f>
        <v>0.9918032787</v>
      </c>
      <c r="O12" s="39">
        <f>'05'!$E$19</f>
        <v>0.9909836066</v>
      </c>
      <c r="P12" s="39">
        <f>'05'!$F$19</f>
        <v>0.9904</v>
      </c>
      <c r="Q12" s="39">
        <f>'05'!$G$19</f>
        <v>0.9808</v>
      </c>
      <c r="R12" s="39">
        <f>'05'!$H$19</f>
        <v>0.9952</v>
      </c>
      <c r="S12" s="39">
        <f>'05'!$I$19</f>
        <v>1</v>
      </c>
      <c r="T12" s="39">
        <f>'05'!$J$19</f>
        <v>0.9968253968</v>
      </c>
      <c r="U12" s="39">
        <f>'05'!$K$19</f>
        <v>0.9968253968</v>
      </c>
      <c r="V12" s="39">
        <f>'05'!$L$19</f>
        <v>1</v>
      </c>
      <c r="W12" s="39">
        <f>'05'!$M$19</f>
        <v>0.996031746</v>
      </c>
      <c r="X12" s="39">
        <f>'05'!$N$19</f>
        <v>0.9992132179</v>
      </c>
      <c r="Y12" s="29"/>
      <c r="Z12" s="29"/>
    </row>
    <row r="13" ht="52.5" customHeight="1">
      <c r="A13" s="30" t="s">
        <v>87</v>
      </c>
      <c r="B13" s="104" t="s">
        <v>88</v>
      </c>
      <c r="C13" s="32" t="s">
        <v>89</v>
      </c>
      <c r="D13" s="33" t="s">
        <v>90</v>
      </c>
      <c r="E13" s="34" t="s">
        <v>35</v>
      </c>
      <c r="F13" s="34" t="s">
        <v>36</v>
      </c>
      <c r="G13" s="37" t="s">
        <v>37</v>
      </c>
      <c r="H13" s="37" t="s">
        <v>38</v>
      </c>
      <c r="I13" s="37" t="s">
        <v>39</v>
      </c>
      <c r="J13" s="39">
        <v>0.92</v>
      </c>
      <c r="K13" s="39">
        <v>1.0</v>
      </c>
      <c r="L13" s="39">
        <f>'06'!$O$19</f>
        <v>1.585086551</v>
      </c>
      <c r="M13" s="39">
        <f>'06'!$C$19</f>
        <v>0.9204918033</v>
      </c>
      <c r="N13" s="39">
        <f>'06'!$D$19</f>
        <v>0.9196721311</v>
      </c>
      <c r="O13" s="39">
        <f>'06'!$E$19</f>
        <v>0.918852459</v>
      </c>
      <c r="P13" s="39">
        <f>'06'!$F$19</f>
        <v>0.916</v>
      </c>
      <c r="Q13" s="39">
        <f>'06'!$G$19</f>
        <v>0.9064</v>
      </c>
      <c r="R13" s="39">
        <f>'06'!$H$19</f>
        <v>8.9208</v>
      </c>
      <c r="S13" s="39">
        <f>'06'!$I$19</f>
        <v>0.9243498818</v>
      </c>
      <c r="T13" s="39">
        <f>'06'!$J$19</f>
        <v>0.923015873</v>
      </c>
      <c r="U13" s="39">
        <f>'06'!$K$19</f>
        <v>0.9206349206</v>
      </c>
      <c r="V13" s="39">
        <f>'06'!$L$19</f>
        <v>0.9209302326</v>
      </c>
      <c r="W13" s="39">
        <f>'06'!$M$19</f>
        <v>0.9174603175</v>
      </c>
      <c r="X13" s="39">
        <f>'06'!$N$19</f>
        <v>0.922895358</v>
      </c>
      <c r="Y13" s="29"/>
      <c r="Z13" s="29"/>
    </row>
    <row r="14" ht="48.75" customHeight="1">
      <c r="A14" s="30" t="s">
        <v>93</v>
      </c>
      <c r="B14" s="31" t="s">
        <v>95</v>
      </c>
      <c r="C14" s="32" t="s">
        <v>97</v>
      </c>
      <c r="D14" s="33" t="s">
        <v>98</v>
      </c>
      <c r="E14" s="34" t="s">
        <v>35</v>
      </c>
      <c r="F14" s="34" t="s">
        <v>36</v>
      </c>
      <c r="G14" s="37" t="s">
        <v>37</v>
      </c>
      <c r="H14" s="37" t="s">
        <v>38</v>
      </c>
      <c r="I14" s="37" t="s">
        <v>39</v>
      </c>
      <c r="J14" s="39">
        <v>0.92</v>
      </c>
      <c r="K14" s="39">
        <v>1.0</v>
      </c>
      <c r="L14" s="39" t="str">
        <f>'07'!$O$19</f>
        <v>#DIV/0!</v>
      </c>
      <c r="M14" s="39" t="str">
        <f>'07'!$C$19</f>
        <v>#DIV/0!</v>
      </c>
      <c r="N14" s="39" t="str">
        <f>'07'!$D$19</f>
        <v>#DIV/0!</v>
      </c>
      <c r="O14" s="39" t="str">
        <f>'07'!$E$19</f>
        <v>#DIV/0!</v>
      </c>
      <c r="P14" s="39" t="str">
        <f>'07'!$F$19</f>
        <v>#DIV/0!</v>
      </c>
      <c r="Q14" s="39" t="str">
        <f>'07'!$G$19</f>
        <v>#DIV/0!</v>
      </c>
      <c r="R14" s="39" t="str">
        <f>'07'!$H$19</f>
        <v>#DIV/0!</v>
      </c>
      <c r="S14" s="39" t="str">
        <f>'07'!$I$19</f>
        <v>#DIV/0!</v>
      </c>
      <c r="T14" s="39" t="str">
        <f>'07'!$J$19</f>
        <v>#DIV/0!</v>
      </c>
      <c r="U14" s="39" t="str">
        <f>'07'!$K$19</f>
        <v>#DIV/0!</v>
      </c>
      <c r="V14" s="39" t="str">
        <f>'07'!$L$19</f>
        <v>#DIV/0!</v>
      </c>
      <c r="W14" s="39" t="str">
        <f>'07'!$M$19</f>
        <v>#DIV/0!</v>
      </c>
      <c r="X14" s="39" t="str">
        <f>'07'!$N$19</f>
        <v>#DIV/0!</v>
      </c>
      <c r="Y14" s="29"/>
      <c r="Z14" s="29"/>
    </row>
    <row r="15" ht="47.25" customHeight="1">
      <c r="A15" s="30" t="s">
        <v>101</v>
      </c>
      <c r="B15" s="31" t="s">
        <v>102</v>
      </c>
      <c r="C15" s="32" t="s">
        <v>104</v>
      </c>
      <c r="D15" s="33" t="s">
        <v>105</v>
      </c>
      <c r="E15" s="34" t="s">
        <v>35</v>
      </c>
      <c r="F15" s="34" t="s">
        <v>36</v>
      </c>
      <c r="G15" s="37" t="s">
        <v>37</v>
      </c>
      <c r="H15" s="37" t="s">
        <v>38</v>
      </c>
      <c r="I15" s="37" t="s">
        <v>39</v>
      </c>
      <c r="J15" s="39">
        <v>0.93</v>
      </c>
      <c r="K15" s="39">
        <v>0.95</v>
      </c>
      <c r="L15" s="39" t="str">
        <f>'08'!$O$19</f>
        <v>#ERROR!</v>
      </c>
      <c r="M15" s="39">
        <f>'08'!$C$19</f>
        <v>0.879637263</v>
      </c>
      <c r="N15" s="39">
        <f>'08'!$D$19</f>
        <v>0.8826446281</v>
      </c>
      <c r="O15" s="39">
        <f>'08'!$E$19</f>
        <v>0.8726220017</v>
      </c>
      <c r="P15" s="39">
        <f>'08'!$F$19</f>
        <v>0.8537964459</v>
      </c>
      <c r="Q15" s="39">
        <f>'08'!$G$19</f>
        <v>0.8670473083</v>
      </c>
      <c r="R15" s="39">
        <f>'08'!$H$19</f>
        <v>0.8625401929</v>
      </c>
      <c r="S15" s="39">
        <f>'08'!$I$19</f>
        <v>0.8439716312</v>
      </c>
      <c r="T15" s="39">
        <f>'08'!$J$19</f>
        <v>1</v>
      </c>
      <c r="U15" s="39" t="str">
        <f>'08'!$K$19</f>
        <v>#ERROR!</v>
      </c>
      <c r="V15" s="39">
        <f>'08'!$L$19</f>
        <v>0.9503875969</v>
      </c>
      <c r="W15" s="39">
        <f>'08'!$M$19</f>
        <v>0.9442231076</v>
      </c>
      <c r="X15" s="39">
        <f>'08'!$N$19</f>
        <v>0.9496062992</v>
      </c>
      <c r="Y15" s="29"/>
      <c r="Z15" s="29"/>
    </row>
    <row r="16" ht="49.5" customHeight="1">
      <c r="A16" s="30" t="s">
        <v>108</v>
      </c>
      <c r="B16" s="31" t="s">
        <v>109</v>
      </c>
      <c r="C16" s="32" t="s">
        <v>110</v>
      </c>
      <c r="D16" s="33" t="s">
        <v>111</v>
      </c>
      <c r="E16" s="34" t="s">
        <v>35</v>
      </c>
      <c r="F16" s="34" t="s">
        <v>36</v>
      </c>
      <c r="G16" s="37" t="s">
        <v>112</v>
      </c>
      <c r="H16" s="37" t="s">
        <v>114</v>
      </c>
      <c r="I16" s="37" t="s">
        <v>115</v>
      </c>
      <c r="J16" s="39">
        <v>0.05</v>
      </c>
      <c r="K16" s="39">
        <v>0.05</v>
      </c>
      <c r="L16" s="39">
        <f>'09'!$O$19</f>
        <v>0</v>
      </c>
      <c r="M16" s="39" t="str">
        <f>'09'!$C$19</f>
        <v>-</v>
      </c>
      <c r="N16" s="39" t="str">
        <f>'09'!$D$19</f>
        <v>-</v>
      </c>
      <c r="O16" s="39" t="str">
        <f>'09'!$E$19</f>
        <v>-</v>
      </c>
      <c r="P16" s="39" t="str">
        <f>'09'!$F$19</f>
        <v>-</v>
      </c>
      <c r="Q16" s="39" t="str">
        <f>'09'!$G$19</f>
        <v>-</v>
      </c>
      <c r="R16" s="39" t="str">
        <f>'09'!$H$19</f>
        <v>-</v>
      </c>
      <c r="S16" s="39" t="str">
        <f>'09'!$I$19</f>
        <v>-</v>
      </c>
      <c r="T16" s="39" t="str">
        <f>'09'!$J$19</f>
        <v>-</v>
      </c>
      <c r="U16" s="39" t="str">
        <f>'09'!$K$19</f>
        <v>-</v>
      </c>
      <c r="V16" s="39" t="str">
        <f>'09'!$L$19</f>
        <v>-</v>
      </c>
      <c r="W16" s="39" t="str">
        <f>'09'!$M$19</f>
        <v>-</v>
      </c>
      <c r="X16" s="39" t="str">
        <f>'09'!$N$19</f>
        <v>-</v>
      </c>
    </row>
    <row r="17" ht="48.75" customHeight="1">
      <c r="A17" s="30" t="s">
        <v>118</v>
      </c>
      <c r="B17" s="31" t="s">
        <v>119</v>
      </c>
      <c r="C17" s="32" t="s">
        <v>120</v>
      </c>
      <c r="D17" s="33" t="s">
        <v>121</v>
      </c>
      <c r="E17" s="34" t="s">
        <v>35</v>
      </c>
      <c r="F17" s="34" t="s">
        <v>36</v>
      </c>
      <c r="G17" s="37" t="s">
        <v>122</v>
      </c>
      <c r="H17" s="37" t="s">
        <v>123</v>
      </c>
      <c r="I17" s="37" t="s">
        <v>124</v>
      </c>
      <c r="J17" s="39">
        <v>0.46</v>
      </c>
      <c r="K17" s="39">
        <v>0.3</v>
      </c>
      <c r="L17" s="39">
        <f>'10'!$O$19</f>
        <v>0.2146388908</v>
      </c>
      <c r="M17" s="39">
        <f>'10'!$C$19</f>
        <v>0.09506644429</v>
      </c>
      <c r="N17" s="39">
        <f>'10'!$D$19</f>
        <v>0.1694663698</v>
      </c>
      <c r="O17" s="39">
        <f>'10'!$E$19</f>
        <v>0.228942734</v>
      </c>
      <c r="P17" s="39">
        <f>'10'!$F$19</f>
        <v>0.2092073005</v>
      </c>
      <c r="Q17" s="39">
        <f>'10'!$G$19</f>
        <v>0.2961124464</v>
      </c>
      <c r="R17" s="39">
        <f>'10'!$H$19</f>
        <v>0.3883757492</v>
      </c>
      <c r="S17" s="39">
        <f>'10'!$I$19</f>
        <v>0.06627555762</v>
      </c>
      <c r="T17" s="39">
        <f>'10'!$J$19</f>
        <v>0.1598017962</v>
      </c>
      <c r="U17" s="39">
        <f>'10'!$K$19</f>
        <v>0.137148262</v>
      </c>
      <c r="V17" s="39">
        <f>'10'!$L$19</f>
        <v>0.3436016213</v>
      </c>
      <c r="W17" s="39">
        <f>'10'!$M$19</f>
        <v>0.1634172923</v>
      </c>
      <c r="X17" s="39">
        <f>'10'!$N$19</f>
        <v>0.2754710295</v>
      </c>
    </row>
    <row r="18" ht="47.25" customHeight="1">
      <c r="A18" s="30" t="s">
        <v>134</v>
      </c>
      <c r="B18" s="31" t="s">
        <v>135</v>
      </c>
      <c r="C18" s="32" t="s">
        <v>136</v>
      </c>
      <c r="D18" s="33" t="s">
        <v>137</v>
      </c>
      <c r="E18" s="34" t="s">
        <v>35</v>
      </c>
      <c r="F18" s="34" t="s">
        <v>36</v>
      </c>
      <c r="G18" s="37" t="s">
        <v>37</v>
      </c>
      <c r="H18" s="37" t="s">
        <v>38</v>
      </c>
      <c r="I18" s="37" t="s">
        <v>39</v>
      </c>
      <c r="J18" s="39">
        <v>0.98</v>
      </c>
      <c r="K18" s="39">
        <v>0.99</v>
      </c>
      <c r="L18" s="39">
        <f>'11'!$O$19</f>
        <v>-0.7194444444</v>
      </c>
      <c r="M18" s="39" t="str">
        <f>'11'!$C$19</f>
        <v>-</v>
      </c>
      <c r="N18" s="39" t="str">
        <f>'11'!$D$19</f>
        <v>-</v>
      </c>
      <c r="O18" s="39" t="str">
        <f>'11'!$E$19</f>
        <v>-</v>
      </c>
      <c r="P18" s="39" t="str">
        <f>'11'!$F$19</f>
        <v>-</v>
      </c>
      <c r="Q18" s="39" t="str">
        <f>'11'!$G$19</f>
        <v>-</v>
      </c>
      <c r="R18" s="39" t="str">
        <f>'11'!$H$19</f>
        <v>-</v>
      </c>
      <c r="S18" s="39" t="str">
        <f>'11'!$I$19</f>
        <v>-</v>
      </c>
      <c r="T18" s="39" t="str">
        <f>'11'!$J$19</f>
        <v>-</v>
      </c>
      <c r="U18" s="39">
        <f>'11'!$K$19</f>
        <v>-0.7194444444</v>
      </c>
      <c r="V18" s="39" t="str">
        <f>'11'!$L$19</f>
        <v>-</v>
      </c>
      <c r="W18" s="39" t="str">
        <f>'11'!$M$19</f>
        <v>-</v>
      </c>
      <c r="X18" s="39" t="str">
        <f>'11'!$N$19</f>
        <v>-</v>
      </c>
      <c r="Y18" s="145"/>
    </row>
    <row r="19" ht="48.75" customHeight="1">
      <c r="A19" s="30" t="s">
        <v>145</v>
      </c>
      <c r="B19" s="31" t="s">
        <v>146</v>
      </c>
      <c r="C19" s="32" t="s">
        <v>147</v>
      </c>
      <c r="D19" s="33" t="s">
        <v>148</v>
      </c>
      <c r="E19" s="34" t="s">
        <v>150</v>
      </c>
      <c r="F19" s="34" t="s">
        <v>36</v>
      </c>
      <c r="G19" s="37" t="s">
        <v>152</v>
      </c>
      <c r="H19" s="37" t="s">
        <v>153</v>
      </c>
      <c r="I19" s="37" t="s">
        <v>154</v>
      </c>
      <c r="J19" s="39">
        <v>0.98</v>
      </c>
      <c r="K19" s="39">
        <v>1.0</v>
      </c>
      <c r="L19" s="39" t="str">
        <f>'12'!$O$19</f>
        <v>-</v>
      </c>
      <c r="M19" s="39" t="str">
        <f>'12'!$C$19</f>
        <v>-</v>
      </c>
      <c r="N19" s="39" t="str">
        <f>'12'!$D$19</f>
        <v>-</v>
      </c>
      <c r="O19" s="39" t="str">
        <f>'12'!$E$19</f>
        <v>-</v>
      </c>
      <c r="P19" s="39" t="str">
        <f>'12'!$F$19</f>
        <v>-</v>
      </c>
      <c r="Q19" s="39" t="str">
        <f>'12'!$G$19</f>
        <v>-</v>
      </c>
      <c r="R19" s="39" t="str">
        <f>'12'!$H$19</f>
        <v>-</v>
      </c>
      <c r="S19" s="39" t="str">
        <f>'12'!$I$19</f>
        <v>-</v>
      </c>
      <c r="T19" s="39" t="str">
        <f>'12'!$J$19</f>
        <v>-</v>
      </c>
      <c r="U19" s="39" t="str">
        <f>'12'!$K$19</f>
        <v>-</v>
      </c>
      <c r="V19" s="39" t="str">
        <f>'12'!$L$19</f>
        <v>-</v>
      </c>
      <c r="W19" s="39" t="str">
        <f>'12'!$M$19</f>
        <v>-</v>
      </c>
      <c r="X19" s="39" t="str">
        <f>'12'!$N$19</f>
        <v>-</v>
      </c>
    </row>
    <row r="20" ht="48.75" customHeight="1">
      <c r="A20" s="30" t="s">
        <v>168</v>
      </c>
      <c r="B20" s="31" t="s">
        <v>169</v>
      </c>
      <c r="C20" s="32" t="s">
        <v>170</v>
      </c>
      <c r="D20" s="33" t="s">
        <v>171</v>
      </c>
      <c r="E20" s="34" t="s">
        <v>35</v>
      </c>
      <c r="F20" s="34" t="s">
        <v>36</v>
      </c>
      <c r="G20" s="37" t="s">
        <v>173</v>
      </c>
      <c r="H20" s="37" t="s">
        <v>175</v>
      </c>
      <c r="I20" s="37" t="s">
        <v>176</v>
      </c>
      <c r="J20" s="39" t="s">
        <v>177</v>
      </c>
      <c r="K20" s="39" t="s">
        <v>178</v>
      </c>
      <c r="L20" s="39">
        <f>'13'!$O$19</f>
        <v>0.0004200268817</v>
      </c>
      <c r="M20" s="39">
        <f>'13'!$C$19</f>
        <v>0</v>
      </c>
      <c r="N20" s="39">
        <f>'13'!$D$19</f>
        <v>0.001782531194</v>
      </c>
      <c r="O20" s="39">
        <f>'13'!$E$19</f>
        <v>0.00178412132</v>
      </c>
      <c r="P20" s="39">
        <f>'13'!$F$19</f>
        <v>0</v>
      </c>
      <c r="Q20" s="39">
        <f>'13'!$G$19</f>
        <v>0</v>
      </c>
      <c r="R20" s="39">
        <f>'13'!$H$19</f>
        <v>0</v>
      </c>
      <c r="S20" s="39">
        <f>'13'!$I$19</f>
        <v>0</v>
      </c>
      <c r="T20" s="39">
        <f>'13'!$J$19</f>
        <v>0</v>
      </c>
      <c r="U20" s="39">
        <f>'13'!$K$19</f>
        <v>0.002586206897</v>
      </c>
      <c r="V20" s="39">
        <f>'13'!$L$19</f>
        <v>0.002525252525</v>
      </c>
      <c r="W20" s="39">
        <f>'13'!$M$19</f>
        <v>0</v>
      </c>
      <c r="X20" s="39">
        <f>'13'!$N$19</f>
        <v>0</v>
      </c>
    </row>
    <row r="21" ht="49.5" customHeight="1">
      <c r="A21" s="30" t="s">
        <v>182</v>
      </c>
      <c r="B21" s="31" t="s">
        <v>184</v>
      </c>
      <c r="C21" s="32" t="s">
        <v>185</v>
      </c>
      <c r="D21" s="33" t="s">
        <v>186</v>
      </c>
      <c r="E21" s="34" t="s">
        <v>35</v>
      </c>
      <c r="F21" s="34" t="s">
        <v>36</v>
      </c>
      <c r="G21" s="37" t="s">
        <v>152</v>
      </c>
      <c r="H21" s="37" t="s">
        <v>153</v>
      </c>
      <c r="I21" s="37" t="s">
        <v>154</v>
      </c>
      <c r="J21" s="39">
        <v>0.98</v>
      </c>
      <c r="K21" s="39">
        <v>1.0</v>
      </c>
      <c r="L21" s="39" t="str">
        <f>'14'!$O$19</f>
        <v>#DIV/0!</v>
      </c>
      <c r="M21" s="39" t="str">
        <f>'14'!$C$19</f>
        <v>#DIV/0!</v>
      </c>
      <c r="N21" s="39" t="str">
        <f>'14'!$D$19</f>
        <v>#DIV/0!</v>
      </c>
      <c r="O21" s="39" t="str">
        <f>'14'!$E$19</f>
        <v>#DIV/0!</v>
      </c>
      <c r="P21" s="39" t="str">
        <f>'14'!$F$19</f>
        <v>#DIV/0!</v>
      </c>
      <c r="Q21" s="39" t="str">
        <f>'14'!$G$19</f>
        <v>#DIV/0!</v>
      </c>
      <c r="R21" s="39" t="str">
        <f>'14'!$H$19</f>
        <v>#DIV/0!</v>
      </c>
      <c r="S21" s="39" t="str">
        <f>'14'!$I$19</f>
        <v>#DIV/0!</v>
      </c>
      <c r="T21" s="39" t="str">
        <f>'14'!$J$19</f>
        <v>#DIV/0!</v>
      </c>
      <c r="U21" s="39" t="str">
        <f>'14'!$K$19</f>
        <v>#DIV/0!</v>
      </c>
      <c r="V21" s="39" t="str">
        <f>'14'!$L$19</f>
        <v>#DIV/0!</v>
      </c>
      <c r="W21" s="39" t="str">
        <f>'14'!$M$19</f>
        <v>#DIV/0!</v>
      </c>
      <c r="X21" s="39" t="str">
        <f>'14'!$N$19</f>
        <v>#DIV/0!</v>
      </c>
    </row>
    <row r="22" ht="6.75" customHeight="1">
      <c r="A22" s="151"/>
      <c r="B22" s="152"/>
      <c r="C22" s="152"/>
      <c r="D22" s="152"/>
      <c r="E22" s="152"/>
      <c r="F22" s="152"/>
      <c r="G22" s="152"/>
      <c r="H22" s="152"/>
      <c r="I22" s="152"/>
      <c r="J22" s="152"/>
      <c r="K22" s="152"/>
      <c r="L22" s="152"/>
      <c r="M22" s="152"/>
      <c r="N22" s="152"/>
      <c r="O22" s="152"/>
      <c r="P22" s="152"/>
      <c r="Q22" s="152"/>
      <c r="R22" s="152"/>
      <c r="S22" s="152"/>
      <c r="T22" s="152"/>
      <c r="U22" s="152"/>
      <c r="V22" s="152"/>
      <c r="W22" s="152"/>
      <c r="X22" s="153"/>
    </row>
    <row r="23" ht="15.75" customHeight="1"/>
    <row r="24" ht="15.75" customHeight="1">
      <c r="Z24" s="150" t="s">
        <v>193</v>
      </c>
    </row>
    <row r="25" ht="15.75" customHeight="1">
      <c r="Z25" s="150" t="s">
        <v>194</v>
      </c>
    </row>
    <row r="26" ht="15.75" customHeight="1">
      <c r="Z26" s="150" t="s">
        <v>195</v>
      </c>
    </row>
    <row r="27" ht="15.75" customHeight="1">
      <c r="Z27" s="150" t="s">
        <v>197</v>
      </c>
    </row>
    <row r="28" ht="15.75" customHeight="1">
      <c r="Z28" s="150" t="s">
        <v>198</v>
      </c>
    </row>
    <row r="29" ht="15.75" customHeight="1">
      <c r="Z29" s="150" t="s">
        <v>199</v>
      </c>
    </row>
    <row r="30" ht="15.75" customHeight="1">
      <c r="Z30" s="150" t="s">
        <v>200</v>
      </c>
    </row>
    <row r="31" ht="15.75" customHeight="1">
      <c r="Z31" s="150" t="s">
        <v>201</v>
      </c>
    </row>
    <row r="32" ht="15.75" customHeight="1">
      <c r="Z32" s="150" t="s">
        <v>5</v>
      </c>
    </row>
    <row r="33" ht="15.75" customHeight="1">
      <c r="Z33" s="150" t="s">
        <v>202</v>
      </c>
    </row>
    <row r="34" ht="15.75" customHeight="1">
      <c r="Z34" s="150" t="s">
        <v>203</v>
      </c>
    </row>
    <row r="35" ht="15.75" customHeight="1">
      <c r="Z35" s="150" t="s">
        <v>204</v>
      </c>
    </row>
    <row r="36" ht="15.75" customHeight="1">
      <c r="Z36" s="150" t="s">
        <v>205</v>
      </c>
    </row>
    <row r="37" ht="15.75" customHeight="1"/>
    <row r="38" ht="15.75" customHeight="1">
      <c r="Z38" s="150" t="s">
        <v>36</v>
      </c>
    </row>
    <row r="39" ht="15.75" customHeight="1">
      <c r="Z39" s="150" t="s">
        <v>207</v>
      </c>
    </row>
    <row r="40" ht="15.75" customHeight="1">
      <c r="Z40" s="150" t="s">
        <v>208</v>
      </c>
    </row>
    <row r="41" ht="15.75" customHeight="1"/>
    <row r="42" ht="15.75" customHeight="1">
      <c r="Z42" s="154" t="s">
        <v>209</v>
      </c>
    </row>
    <row r="43" ht="15.75" customHeight="1">
      <c r="Z43" s="154" t="s">
        <v>210</v>
      </c>
    </row>
    <row r="44" ht="15.75" customHeight="1">
      <c r="Z44" s="154" t="s">
        <v>35</v>
      </c>
    </row>
    <row r="45" ht="15.75" customHeight="1">
      <c r="Z45" s="154" t="s">
        <v>211</v>
      </c>
    </row>
    <row r="46" ht="15.75" customHeight="1">
      <c r="Z46" s="154" t="s">
        <v>150</v>
      </c>
    </row>
    <row r="47" ht="15.75" customHeight="1">
      <c r="Z47" s="154" t="s">
        <v>212</v>
      </c>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6:B7"/>
    <mergeCell ref="C6:C7"/>
    <mergeCell ref="D6:D7"/>
    <mergeCell ref="E6:E7"/>
    <mergeCell ref="F6:F7"/>
    <mergeCell ref="G6:I6"/>
    <mergeCell ref="J6:J7"/>
    <mergeCell ref="K6:K7"/>
    <mergeCell ref="L6:X6"/>
    <mergeCell ref="A22:X22"/>
    <mergeCell ref="A1:C4"/>
    <mergeCell ref="D1:X1"/>
    <mergeCell ref="D2:X2"/>
    <mergeCell ref="D3:X3"/>
    <mergeCell ref="D4:X4"/>
    <mergeCell ref="A5:I5"/>
    <mergeCell ref="J5:X5"/>
  </mergeCells>
  <conditionalFormatting sqref="L8:X8">
    <cfRule type="cellIs" dxfId="0" priority="1" operator="between">
      <formula>0.8</formula>
      <formula>1000000</formula>
    </cfRule>
  </conditionalFormatting>
  <conditionalFormatting sqref="L8:X8">
    <cfRule type="cellIs" dxfId="1" priority="2" operator="between">
      <formula>0.59</formula>
      <formula>0.7999</formula>
    </cfRule>
  </conditionalFormatting>
  <conditionalFormatting sqref="L8:X8">
    <cfRule type="cellIs" dxfId="2" priority="3" operator="lessThan">
      <formula>0.59</formula>
    </cfRule>
  </conditionalFormatting>
  <conditionalFormatting sqref="L9:X9">
    <cfRule type="cellIs" dxfId="0" priority="4" operator="between">
      <formula>0.71</formula>
      <formula>100000</formula>
    </cfRule>
  </conditionalFormatting>
  <conditionalFormatting sqref="L9:X9">
    <cfRule type="cellIs" dxfId="1" priority="5" operator="between">
      <formula>0.6</formula>
      <formula>0.709</formula>
    </cfRule>
  </conditionalFormatting>
  <conditionalFormatting sqref="L9:X9">
    <cfRule type="cellIs" dxfId="2" priority="6" operator="between">
      <formula>0</formula>
      <formula>0.599</formula>
    </cfRule>
  </conditionalFormatting>
  <conditionalFormatting sqref="L10:X10">
    <cfRule type="cellIs" dxfId="2" priority="7" operator="between">
      <formula>45</formula>
      <formula>1000000000</formula>
    </cfRule>
  </conditionalFormatting>
  <conditionalFormatting sqref="L10:X10">
    <cfRule type="cellIs" dxfId="1" priority="8" operator="between">
      <formula>31</formula>
      <formula>44.9</formula>
    </cfRule>
  </conditionalFormatting>
  <conditionalFormatting sqref="L10:X10">
    <cfRule type="cellIs" dxfId="0" priority="9" operator="between">
      <formula>0</formula>
      <formula>30.9</formula>
    </cfRule>
  </conditionalFormatting>
  <conditionalFormatting sqref="L11:X15">
    <cfRule type="cellIs" dxfId="0" priority="10" operator="between">
      <formula>0.8</formula>
      <formula>10000000</formula>
    </cfRule>
  </conditionalFormatting>
  <conditionalFormatting sqref="L11:X15">
    <cfRule type="cellIs" dxfId="1" priority="11" operator="between">
      <formula>0.6</formula>
      <formula>0.799</formula>
    </cfRule>
  </conditionalFormatting>
  <conditionalFormatting sqref="L11:X15">
    <cfRule type="cellIs" dxfId="2" priority="12" operator="between">
      <formula>0</formula>
      <formula>0.599</formula>
    </cfRule>
  </conditionalFormatting>
  <conditionalFormatting sqref="L16:X16">
    <cfRule type="cellIs" dxfId="2" priority="13" operator="between">
      <formula>0.081</formula>
      <formula>100000000</formula>
    </cfRule>
  </conditionalFormatting>
  <conditionalFormatting sqref="L16:X16">
    <cfRule type="cellIs" dxfId="1" priority="14" operator="between">
      <formula>0.05</formula>
      <formula>0.08</formula>
    </cfRule>
  </conditionalFormatting>
  <conditionalFormatting sqref="L16:X16">
    <cfRule type="cellIs" dxfId="0" priority="15" operator="between">
      <formula>0</formula>
      <formula>0.049</formula>
    </cfRule>
  </conditionalFormatting>
  <conditionalFormatting sqref="L17:X17">
    <cfRule type="cellIs" dxfId="2" priority="16" operator="between">
      <formula>0.501</formula>
      <formula>1000000</formula>
    </cfRule>
  </conditionalFormatting>
  <conditionalFormatting sqref="L17:X17">
    <cfRule type="cellIs" dxfId="1" priority="17" operator="between">
      <formula>0.3</formula>
      <formula>0.5</formula>
    </cfRule>
  </conditionalFormatting>
  <conditionalFormatting sqref="L17:X17">
    <cfRule type="cellIs" dxfId="0" priority="18" operator="between">
      <formula>0</formula>
      <formula>0.299</formula>
    </cfRule>
  </conditionalFormatting>
  <conditionalFormatting sqref="L18:X18">
    <cfRule type="cellIs" dxfId="0" priority="19" operator="between">
      <formula>0.8</formula>
      <formula>1000000</formula>
    </cfRule>
  </conditionalFormatting>
  <conditionalFormatting sqref="L18:X18">
    <cfRule type="cellIs" dxfId="1" priority="20" operator="between">
      <formula>0.6</formula>
      <formula>0.799</formula>
    </cfRule>
  </conditionalFormatting>
  <conditionalFormatting sqref="L18:X18">
    <cfRule type="cellIs" dxfId="2" priority="21" operator="between">
      <formula>0</formula>
      <formula>0.599</formula>
    </cfRule>
  </conditionalFormatting>
  <conditionalFormatting sqref="L19:X19 L21:X21">
    <cfRule type="cellIs" dxfId="0" priority="22" operator="between">
      <formula>0.91</formula>
      <formula>10000000</formula>
    </cfRule>
  </conditionalFormatting>
  <conditionalFormatting sqref="L19:X19 L21:X21">
    <cfRule type="cellIs" dxfId="1" priority="23" operator="between">
      <formula>0.71</formula>
      <formula>0.909</formula>
    </cfRule>
  </conditionalFormatting>
  <conditionalFormatting sqref="L19:X19 L21:X21">
    <cfRule type="cellIs" dxfId="2" priority="24" operator="between">
      <formula>0</formula>
      <formula>0.709</formula>
    </cfRule>
  </conditionalFormatting>
  <conditionalFormatting sqref="L20:X20">
    <cfRule type="cellIs" dxfId="2" priority="25" operator="between">
      <formula>0.201</formula>
      <formula>1000000</formula>
    </cfRule>
  </conditionalFormatting>
  <conditionalFormatting sqref="L20:X20">
    <cfRule type="cellIs" dxfId="1" priority="26" operator="between">
      <formula>0.101</formula>
      <formula>0.2</formula>
    </cfRule>
  </conditionalFormatting>
  <conditionalFormatting sqref="L20:X20">
    <cfRule type="cellIs" dxfId="0" priority="27" operator="between">
      <formula>0</formula>
      <formula>0.1</formula>
    </cfRule>
  </conditionalFormatting>
  <dataValidations>
    <dataValidation type="list" allowBlank="1" showErrorMessage="1" sqref="F8:F21">
      <formula1>$Z$38:$Z$40</formula1>
    </dataValidation>
    <dataValidation type="list" allowBlank="1" showErrorMessage="1" sqref="E8:E21">
      <formula1>$Z$42:$Z$47</formula1>
    </dataValidation>
    <dataValidation type="list" allowBlank="1" showErrorMessage="1" sqref="J5">
      <formula1>$Z$24:$Z$36</formula1>
    </dataValidation>
  </dataValidations>
  <printOptions/>
  <pageMargins bottom="0.1968503937007874" footer="0.0" header="0.0" left="0.2755905511811024" right="0.2755905511811024" top="0.1968503937007874"/>
  <pageSetup scale="75" orientation="landscape"/>
  <headerFooter>
    <oddFooter>&amp;RDiseñado por: Wilson Andrade González</oddFooter>
  </headerFooter>
  <drawing r:id="rId4"/>
  <legacy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3" width="7.71"/>
    <col customWidth="1" min="14" max="14" width="7.86"/>
    <col customWidth="1" min="15" max="15" width="7.71"/>
    <col customWidth="1" min="16" max="16" width="6.14"/>
    <col customWidth="1" hidden="1" min="17" max="18" width="6.14"/>
    <col customWidth="1" min="19" max="19" width="6.14"/>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2.0" customHeight="1">
      <c r="A2" s="42"/>
      <c r="D2" s="43" t="s">
        <v>1</v>
      </c>
      <c r="E2" s="44"/>
      <c r="F2" s="44"/>
      <c r="G2" s="44"/>
      <c r="H2" s="44"/>
      <c r="I2" s="44"/>
      <c r="J2" s="44"/>
      <c r="K2" s="44"/>
      <c r="L2" s="44"/>
      <c r="M2" s="44"/>
      <c r="N2" s="44"/>
      <c r="O2" s="45"/>
      <c r="P2" s="41"/>
      <c r="Q2" s="41"/>
      <c r="R2" s="41"/>
      <c r="S2" s="41"/>
      <c r="T2" s="41"/>
      <c r="U2" s="41"/>
      <c r="V2" s="41"/>
      <c r="W2" s="41"/>
      <c r="X2" s="41"/>
      <c r="Y2" s="41"/>
      <c r="Z2" s="41"/>
    </row>
    <row r="3" ht="15.0" customHeight="1">
      <c r="A3" s="42"/>
      <c r="D3" s="38" t="s">
        <v>280</v>
      </c>
      <c r="E3" s="36"/>
      <c r="F3" s="36"/>
      <c r="G3" s="36"/>
      <c r="H3" s="36"/>
      <c r="I3" s="36"/>
      <c r="J3" s="36"/>
      <c r="K3" s="36"/>
      <c r="L3" s="36"/>
      <c r="M3" s="36"/>
      <c r="N3" s="36"/>
      <c r="O3" s="40"/>
      <c r="P3" s="41"/>
      <c r="Q3" s="41"/>
      <c r="R3" s="41"/>
      <c r="S3" s="41"/>
      <c r="T3" s="41"/>
      <c r="U3" s="41"/>
      <c r="V3" s="41"/>
      <c r="W3" s="41"/>
      <c r="X3" s="41"/>
      <c r="Y3" s="41"/>
      <c r="Z3" s="41"/>
    </row>
    <row r="4" ht="12.0"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Sta.Mría'!$B16</f>
        <v>Calidad del Agua</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Sta.Mría'!F16</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Sta.Mría'!A16</f>
        <v>IN09</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36.0" customHeight="1">
      <c r="A11" s="80" t="str">
        <f>'SET SP Sta.Mría'!$C16</f>
        <v>Monitorear la calidad de agua suministrada a los usuarios por parte de Aguas de Huila.</v>
      </c>
      <c r="B11" s="63"/>
      <c r="C11" s="63"/>
      <c r="D11" s="64"/>
      <c r="E11" s="81" t="s">
        <v>70</v>
      </c>
      <c r="F11" s="82" t="str">
        <f>'SET SP Sta.Mría'!$D16</f>
        <v>Medición de acuerdo al IRCA          </v>
      </c>
      <c r="G11" s="64"/>
      <c r="H11" s="83">
        <f>$O18</f>
        <v>0.05</v>
      </c>
      <c r="I11" s="84" t="str">
        <f>'SET SP Sta.Mría'!$E16</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78</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tr">
        <f>+'08'!A15:O15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1">
        <f t="shared" ref="C17:N17" si="1">$O$17</f>
        <v>0.05</v>
      </c>
      <c r="D17" s="101">
        <f t="shared" si="1"/>
        <v>0.05</v>
      </c>
      <c r="E17" s="101">
        <f t="shared" si="1"/>
        <v>0.05</v>
      </c>
      <c r="F17" s="101">
        <f t="shared" si="1"/>
        <v>0.05</v>
      </c>
      <c r="G17" s="101">
        <f t="shared" si="1"/>
        <v>0.05</v>
      </c>
      <c r="H17" s="101">
        <f t="shared" si="1"/>
        <v>0.05</v>
      </c>
      <c r="I17" s="101">
        <f t="shared" si="1"/>
        <v>0.05</v>
      </c>
      <c r="J17" s="101">
        <f t="shared" si="1"/>
        <v>0.05</v>
      </c>
      <c r="K17" s="101">
        <f t="shared" si="1"/>
        <v>0.05</v>
      </c>
      <c r="L17" s="101">
        <f t="shared" si="1"/>
        <v>0.05</v>
      </c>
      <c r="M17" s="101">
        <f t="shared" si="1"/>
        <v>0.05</v>
      </c>
      <c r="N17" s="101">
        <f t="shared" si="1"/>
        <v>0.05</v>
      </c>
      <c r="O17" s="103">
        <f>'SET SP Sta.Mría'!J16</f>
        <v>0.05</v>
      </c>
      <c r="P17" s="41"/>
      <c r="Q17" s="41"/>
      <c r="R17" s="41"/>
      <c r="S17" s="41"/>
      <c r="T17" s="41"/>
      <c r="U17" s="41"/>
      <c r="V17" s="92"/>
      <c r="W17" s="95"/>
      <c r="X17" s="95"/>
      <c r="Y17" s="41"/>
      <c r="Z17" s="41"/>
    </row>
    <row r="18" ht="17.25" customHeight="1">
      <c r="A18" s="99" t="str">
        <f>+'08'!A18:B18</f>
        <v>META  AÑO 2025</v>
      </c>
      <c r="B18" s="55"/>
      <c r="C18" s="101">
        <f t="shared" ref="C18:N18" si="2">$O$18</f>
        <v>0.05</v>
      </c>
      <c r="D18" s="101">
        <f t="shared" si="2"/>
        <v>0.05</v>
      </c>
      <c r="E18" s="101">
        <f t="shared" si="2"/>
        <v>0.05</v>
      </c>
      <c r="F18" s="101">
        <f t="shared" si="2"/>
        <v>0.05</v>
      </c>
      <c r="G18" s="101">
        <f t="shared" si="2"/>
        <v>0.05</v>
      </c>
      <c r="H18" s="101">
        <f t="shared" si="2"/>
        <v>0.05</v>
      </c>
      <c r="I18" s="101">
        <f t="shared" si="2"/>
        <v>0.05</v>
      </c>
      <c r="J18" s="101">
        <f t="shared" si="2"/>
        <v>0.05</v>
      </c>
      <c r="K18" s="101">
        <f t="shared" si="2"/>
        <v>0.05</v>
      </c>
      <c r="L18" s="101">
        <f t="shared" si="2"/>
        <v>0.05</v>
      </c>
      <c r="M18" s="101">
        <f t="shared" si="2"/>
        <v>0.05</v>
      </c>
      <c r="N18" s="101">
        <f t="shared" si="2"/>
        <v>0.05</v>
      </c>
      <c r="O18" s="103">
        <f>'SET SP Sta.Mría'!K16</f>
        <v>0.05</v>
      </c>
      <c r="P18" s="41"/>
      <c r="Q18" s="41"/>
      <c r="R18" s="41"/>
      <c r="S18" s="41"/>
      <c r="T18" s="41"/>
      <c r="U18" s="41"/>
      <c r="V18" s="92"/>
      <c r="W18" s="95"/>
      <c r="X18" s="95"/>
      <c r="Y18" s="41"/>
      <c r="Z18" s="41"/>
    </row>
    <row r="19" ht="17.25" customHeight="1">
      <c r="A19" s="106" t="s">
        <v>91</v>
      </c>
      <c r="B19" s="55"/>
      <c r="C19" s="107" t="str">
        <f t="shared" ref="C19:N19" si="3">IF((C20),C20,"-")</f>
        <v>-</v>
      </c>
      <c r="D19" s="107" t="str">
        <f t="shared" si="3"/>
        <v>-</v>
      </c>
      <c r="E19" s="107" t="str">
        <f t="shared" si="3"/>
        <v>-</v>
      </c>
      <c r="F19" s="107" t="str">
        <f t="shared" si="3"/>
        <v>-</v>
      </c>
      <c r="G19" s="107" t="str">
        <f t="shared" si="3"/>
        <v>-</v>
      </c>
      <c r="H19" s="107" t="str">
        <f t="shared" si="3"/>
        <v>-</v>
      </c>
      <c r="I19" s="107" t="str">
        <f t="shared" si="3"/>
        <v>-</v>
      </c>
      <c r="J19" s="107" t="str">
        <f t="shared" si="3"/>
        <v>-</v>
      </c>
      <c r="K19" s="107" t="str">
        <f t="shared" si="3"/>
        <v>-</v>
      </c>
      <c r="L19" s="107" t="str">
        <f t="shared" si="3"/>
        <v>-</v>
      </c>
      <c r="M19" s="107" t="str">
        <f t="shared" si="3"/>
        <v>-</v>
      </c>
      <c r="N19" s="107" t="str">
        <f t="shared" si="3"/>
        <v>-</v>
      </c>
      <c r="O19" s="109">
        <f>IF(ISNUMBER(O20),O20,"-")</f>
        <v>0</v>
      </c>
      <c r="P19" s="41"/>
      <c r="Q19" s="41"/>
      <c r="R19" s="41"/>
      <c r="S19" s="41"/>
      <c r="T19" s="41"/>
      <c r="U19" s="41"/>
      <c r="V19" s="92"/>
      <c r="W19" s="95"/>
      <c r="X19" s="95"/>
      <c r="Y19" s="41"/>
      <c r="Z19" s="41"/>
    </row>
    <row r="20" ht="23.25" customHeight="1">
      <c r="A20" s="110" t="s">
        <v>92</v>
      </c>
      <c r="B20" s="111" t="s">
        <v>281</v>
      </c>
      <c r="C20" s="101">
        <v>0.0</v>
      </c>
      <c r="D20" s="101">
        <v>0.0</v>
      </c>
      <c r="E20" s="101">
        <v>0.0</v>
      </c>
      <c r="F20" s="101">
        <v>0.0</v>
      </c>
      <c r="G20" s="101">
        <v>0.0</v>
      </c>
      <c r="H20" s="101"/>
      <c r="I20" s="101"/>
      <c r="J20" s="101"/>
      <c r="K20" s="101"/>
      <c r="L20" s="101"/>
      <c r="M20" s="101"/>
      <c r="N20" s="101"/>
      <c r="O20" s="180">
        <f>AVERAGE(C20:N20)</f>
        <v>0</v>
      </c>
      <c r="P20" s="41"/>
      <c r="Q20" s="41"/>
      <c r="R20" s="41"/>
      <c r="S20" s="41"/>
      <c r="T20" s="41"/>
      <c r="U20" s="41"/>
      <c r="V20" s="92"/>
      <c r="W20" s="95"/>
      <c r="X20" s="95"/>
      <c r="Y20" s="41"/>
      <c r="Z20" s="41"/>
    </row>
    <row r="21" ht="21.0" customHeight="1">
      <c r="A21" s="115"/>
      <c r="B21" s="117"/>
      <c r="C21" s="118"/>
      <c r="D21" s="118"/>
      <c r="E21" s="118"/>
      <c r="F21" s="118"/>
      <c r="G21" s="118"/>
      <c r="H21" s="118"/>
      <c r="I21" s="118"/>
      <c r="J21" s="118"/>
      <c r="K21" s="118"/>
      <c r="L21" s="118"/>
      <c r="M21" s="118"/>
      <c r="N21" s="118"/>
      <c r="O21" s="119"/>
      <c r="P21" s="41"/>
      <c r="Q21" s="41"/>
      <c r="R21" s="41"/>
      <c r="S21" s="41"/>
      <c r="T21" s="41"/>
      <c r="U21" s="41"/>
      <c r="V21" s="92"/>
      <c r="W21" s="95"/>
      <c r="X21" s="95"/>
      <c r="Y21" s="41"/>
      <c r="Z21" s="41"/>
    </row>
    <row r="22" ht="17.2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8.0"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Sta.Mría'!$G16</f>
        <v>Menor al 5%</v>
      </c>
      <c r="E24" s="127"/>
      <c r="F24" s="127"/>
      <c r="G24" s="128"/>
      <c r="H24" s="126" t="str">
        <f>'SET SP Sta.Mría'!$H16</f>
        <v>Entre el 5% y el 8%</v>
      </c>
      <c r="I24" s="127"/>
      <c r="J24" s="127"/>
      <c r="K24" s="128"/>
      <c r="L24" s="126" t="str">
        <f>'SET SP Sta.Mría'!$I16</f>
        <v>Mayor al 8%</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282</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7"/>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7"/>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7"/>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7"/>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7"/>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7"/>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7"/>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7"/>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7"/>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7"/>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7"/>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7"/>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40" t="s">
        <v>283</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7" t="s">
        <v>107</v>
      </c>
      <c r="B42" s="54"/>
      <c r="C42" s="54"/>
      <c r="D42" s="54"/>
      <c r="E42" s="54"/>
      <c r="F42" s="54"/>
      <c r="G42" s="54"/>
      <c r="H42" s="54"/>
      <c r="I42" s="54"/>
      <c r="J42" s="54"/>
      <c r="K42" s="54"/>
      <c r="L42" s="54"/>
      <c r="M42" s="55"/>
      <c r="N42" s="146" t="s">
        <v>107</v>
      </c>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5.25"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58">
        <v>0.05</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8">
        <v>0.049</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86"/>
    <col customWidth="1" hidden="1" min="17" max="18" width="6.86"/>
    <col customWidth="1" min="19" max="19" width="6.86"/>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2.7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75" customHeight="1">
      <c r="A3" s="42"/>
      <c r="D3" s="38" t="s">
        <v>284</v>
      </c>
      <c r="E3" s="36"/>
      <c r="F3" s="36"/>
      <c r="G3" s="36"/>
      <c r="H3" s="36"/>
      <c r="I3" s="36"/>
      <c r="J3" s="36"/>
      <c r="K3" s="36"/>
      <c r="L3" s="36"/>
      <c r="M3" s="36"/>
      <c r="N3" s="36"/>
      <c r="O3" s="40"/>
      <c r="P3" s="41"/>
      <c r="Q3" s="41"/>
      <c r="R3" s="41"/>
      <c r="S3" s="41"/>
      <c r="T3" s="41"/>
      <c r="U3" s="41"/>
      <c r="V3" s="41"/>
      <c r="W3" s="41"/>
      <c r="X3" s="41"/>
      <c r="Y3" s="41"/>
      <c r="Z3" s="41"/>
    </row>
    <row r="4" ht="11.25"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Sta.Mría'!$B17</f>
        <v>Índice de agua no contabilizada</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Sta.Mría'!F17</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Sta.Mría'!A17</f>
        <v>IN10</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48.75" customHeight="1">
      <c r="A11" s="80" t="str">
        <f>'SET SP Sta.Mría'!$C17</f>
        <v>Lograr que Aguas del Huila facture la totalidad del agua producida.</v>
      </c>
      <c r="B11" s="63"/>
      <c r="C11" s="63"/>
      <c r="D11" s="64"/>
      <c r="E11" s="81" t="s">
        <v>70</v>
      </c>
      <c r="F11" s="82" t="str">
        <f>'SET SP Sta.Mría'!$D17</f>
        <v>(Volumen  producido - Volumen facturado /   Volumen  producido)   x 100          </v>
      </c>
      <c r="G11" s="64"/>
      <c r="H11" s="83">
        <f>$O18</f>
        <v>0.3</v>
      </c>
      <c r="I11" s="84" t="str">
        <f>'SET SP Sta.Mría'!$E17</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+'09'!A15:O15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1">
        <f t="shared" ref="C17:N17" si="1">$O$17</f>
        <v>0.46</v>
      </c>
      <c r="D17" s="101">
        <f t="shared" si="1"/>
        <v>0.46</v>
      </c>
      <c r="E17" s="101">
        <f t="shared" si="1"/>
        <v>0.46</v>
      </c>
      <c r="F17" s="101">
        <f t="shared" si="1"/>
        <v>0.46</v>
      </c>
      <c r="G17" s="101">
        <f t="shared" si="1"/>
        <v>0.46</v>
      </c>
      <c r="H17" s="101">
        <f t="shared" si="1"/>
        <v>0.46</v>
      </c>
      <c r="I17" s="101">
        <f t="shared" si="1"/>
        <v>0.46</v>
      </c>
      <c r="J17" s="101">
        <f t="shared" si="1"/>
        <v>0.46</v>
      </c>
      <c r="K17" s="101">
        <f t="shared" si="1"/>
        <v>0.46</v>
      </c>
      <c r="L17" s="101">
        <f t="shared" si="1"/>
        <v>0.46</v>
      </c>
      <c r="M17" s="101">
        <f t="shared" si="1"/>
        <v>0.46</v>
      </c>
      <c r="N17" s="101">
        <f t="shared" si="1"/>
        <v>0.46</v>
      </c>
      <c r="O17" s="103">
        <f>'SET SP Sta.Mría'!J17</f>
        <v>0.46</v>
      </c>
      <c r="P17" s="41"/>
      <c r="Q17" s="41"/>
      <c r="R17" s="41"/>
      <c r="S17" s="41"/>
      <c r="T17" s="41"/>
      <c r="U17" s="41"/>
      <c r="V17" s="92"/>
      <c r="W17" s="95"/>
      <c r="X17" s="95"/>
      <c r="Y17" s="41"/>
      <c r="Z17" s="41"/>
    </row>
    <row r="18" ht="17.25" customHeight="1">
      <c r="A18" s="99" t="str">
        <f>+'09'!A18:B18</f>
        <v>META  AÑO 2025</v>
      </c>
      <c r="B18" s="55"/>
      <c r="C18" s="101">
        <f t="shared" ref="C18:N18" si="2">$O$18</f>
        <v>0.3</v>
      </c>
      <c r="D18" s="101">
        <f t="shared" si="2"/>
        <v>0.3</v>
      </c>
      <c r="E18" s="101">
        <f t="shared" si="2"/>
        <v>0.3</v>
      </c>
      <c r="F18" s="101">
        <f t="shared" si="2"/>
        <v>0.3</v>
      </c>
      <c r="G18" s="101">
        <f t="shared" si="2"/>
        <v>0.3</v>
      </c>
      <c r="H18" s="101">
        <f t="shared" si="2"/>
        <v>0.3</v>
      </c>
      <c r="I18" s="101">
        <f t="shared" si="2"/>
        <v>0.3</v>
      </c>
      <c r="J18" s="101">
        <f t="shared" si="2"/>
        <v>0.3</v>
      </c>
      <c r="K18" s="101">
        <f t="shared" si="2"/>
        <v>0.3</v>
      </c>
      <c r="L18" s="101">
        <f t="shared" si="2"/>
        <v>0.3</v>
      </c>
      <c r="M18" s="101">
        <f t="shared" si="2"/>
        <v>0.3</v>
      </c>
      <c r="N18" s="101">
        <f t="shared" si="2"/>
        <v>0.3</v>
      </c>
      <c r="O18" s="103">
        <f>'SET SP Sta.Mría'!K17</f>
        <v>0.3</v>
      </c>
      <c r="P18" s="41"/>
      <c r="Q18" s="41"/>
      <c r="R18" s="41"/>
      <c r="S18" s="41"/>
      <c r="T18" s="41"/>
      <c r="U18" s="41"/>
      <c r="V18" s="92"/>
      <c r="W18" s="95"/>
      <c r="X18" s="95"/>
      <c r="Y18" s="41"/>
      <c r="Z18" s="41"/>
    </row>
    <row r="19" ht="17.25" customHeight="1">
      <c r="A19" s="106" t="s">
        <v>91</v>
      </c>
      <c r="B19" s="55"/>
      <c r="C19" s="107">
        <f t="shared" ref="C19:O19" si="3">IF((C21),(C20-C21)/C20,"-")</f>
        <v>0.09506644429</v>
      </c>
      <c r="D19" s="107">
        <f t="shared" si="3"/>
        <v>0.1694663698</v>
      </c>
      <c r="E19" s="107">
        <f t="shared" si="3"/>
        <v>0.228942734</v>
      </c>
      <c r="F19" s="107">
        <f t="shared" si="3"/>
        <v>0.2092073005</v>
      </c>
      <c r="G19" s="107">
        <f t="shared" si="3"/>
        <v>0.2961124464</v>
      </c>
      <c r="H19" s="107">
        <f t="shared" si="3"/>
        <v>0.3883757492</v>
      </c>
      <c r="I19" s="107">
        <f t="shared" si="3"/>
        <v>0.06627555762</v>
      </c>
      <c r="J19" s="107">
        <f t="shared" si="3"/>
        <v>0.1598017962</v>
      </c>
      <c r="K19" s="107">
        <f t="shared" si="3"/>
        <v>0.137148262</v>
      </c>
      <c r="L19" s="107">
        <f t="shared" si="3"/>
        <v>0.3436016213</v>
      </c>
      <c r="M19" s="107">
        <f t="shared" si="3"/>
        <v>0.1634172923</v>
      </c>
      <c r="N19" s="107">
        <f t="shared" si="3"/>
        <v>0.2754710295</v>
      </c>
      <c r="O19" s="109">
        <f t="shared" si="3"/>
        <v>0.2146388908</v>
      </c>
      <c r="P19" s="41"/>
      <c r="Q19" s="41"/>
      <c r="R19" s="41"/>
      <c r="S19" s="41"/>
      <c r="T19" s="41"/>
      <c r="U19" s="41"/>
      <c r="V19" s="92"/>
      <c r="W19" s="95"/>
      <c r="X19" s="95"/>
      <c r="Y19" s="41"/>
      <c r="Z19" s="41"/>
    </row>
    <row r="20" ht="17.25" customHeight="1">
      <c r="A20" s="110" t="s">
        <v>92</v>
      </c>
      <c r="B20" s="111" t="s">
        <v>285</v>
      </c>
      <c r="C20" s="102">
        <f>+'STA MARIA2020'!D$9</f>
        <v>18587</v>
      </c>
      <c r="D20" s="102">
        <f>+'STA MARIA2020'!E$9</f>
        <v>14823</v>
      </c>
      <c r="E20" s="102">
        <f>+'STA MARIA2020'!F$9</f>
        <v>16467</v>
      </c>
      <c r="F20" s="102">
        <f>+'STA MARIA2020'!G$9</f>
        <v>18355</v>
      </c>
      <c r="G20" s="102">
        <f>+'STA MARIA2020'!H$9</f>
        <v>19138</v>
      </c>
      <c r="H20" s="102">
        <f>+'STA MARIA2020'!I$9</f>
        <v>20354</v>
      </c>
      <c r="I20" s="102">
        <f>+'STA MARIA2020'!J$9</f>
        <v>17216</v>
      </c>
      <c r="J20" s="102">
        <f>+'STA MARIA2020'!K$9</f>
        <v>16145</v>
      </c>
      <c r="K20" s="102">
        <f>+'STA MARIA2020'!L$9</f>
        <v>16916</v>
      </c>
      <c r="L20" s="102">
        <f>+'STA MARIA2020'!M$9</f>
        <v>17270</v>
      </c>
      <c r="M20" s="102">
        <f>+'STA MARIA2020'!N$9</f>
        <v>16516</v>
      </c>
      <c r="N20" s="102">
        <f>+'STA MARIA2020'!O$9</f>
        <v>16931</v>
      </c>
      <c r="O20" s="167">
        <f t="shared" ref="O20:O21" si="4">SUM(C20:N20)</f>
        <v>208718</v>
      </c>
      <c r="P20" s="41"/>
      <c r="Q20" s="41"/>
      <c r="R20" s="41"/>
      <c r="S20" s="41"/>
      <c r="T20" s="41"/>
      <c r="U20" s="41"/>
      <c r="V20" s="92"/>
      <c r="W20" s="95"/>
      <c r="X20" s="95"/>
      <c r="Y20" s="41"/>
      <c r="Z20" s="41"/>
    </row>
    <row r="21" ht="17.25" customHeight="1">
      <c r="A21" s="115"/>
      <c r="B21" s="111" t="s">
        <v>286</v>
      </c>
      <c r="C21" s="102">
        <f>+'STA MARIA2020'!D$10</f>
        <v>16820</v>
      </c>
      <c r="D21" s="102">
        <f>+'STA MARIA2020'!E$10</f>
        <v>12311</v>
      </c>
      <c r="E21" s="102">
        <f>+'STA MARIA2020'!F$10</f>
        <v>12697</v>
      </c>
      <c r="F21" s="102">
        <f>+'STA MARIA2020'!G$10</f>
        <v>14515</v>
      </c>
      <c r="G21" s="102">
        <f>+'STA MARIA2020'!H$10</f>
        <v>13471</v>
      </c>
      <c r="H21" s="102">
        <f>+'STA MARIA2020'!I$10</f>
        <v>12449</v>
      </c>
      <c r="I21" s="102">
        <f>+'STA MARIA2020'!J$10</f>
        <v>16075</v>
      </c>
      <c r="J21" s="102">
        <f>+'STA MARIA2020'!K$10</f>
        <v>13565</v>
      </c>
      <c r="K21" s="102">
        <f>+'STA MARIA2020'!L$10</f>
        <v>14596</v>
      </c>
      <c r="L21" s="102">
        <f>+'STA MARIA2020'!M$10</f>
        <v>11336</v>
      </c>
      <c r="M21" s="102">
        <f>+'STA MARIA2020'!N$10</f>
        <v>13817</v>
      </c>
      <c r="N21" s="102">
        <f>+'STA MARIA2020'!O$10</f>
        <v>12267</v>
      </c>
      <c r="O21" s="167">
        <f t="shared" si="4"/>
        <v>163919</v>
      </c>
      <c r="P21" s="41"/>
      <c r="Q21" s="41"/>
      <c r="R21" s="41"/>
      <c r="S21" s="41"/>
      <c r="T21" s="41"/>
      <c r="U21" s="41"/>
      <c r="V21" s="92"/>
      <c r="W21" s="95"/>
      <c r="X21" s="95"/>
      <c r="Y21" s="41"/>
      <c r="Z21" s="41"/>
    </row>
    <row r="22" ht="12.0"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3.5"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Sta.Mría'!$G17</f>
        <v>Menor al 30%</v>
      </c>
      <c r="E24" s="127"/>
      <c r="F24" s="127"/>
      <c r="G24" s="128"/>
      <c r="H24" s="126" t="str">
        <f>'SET SP Sta.Mría'!$H17</f>
        <v>Entre el 30% y el 50%</v>
      </c>
      <c r="I24" s="127"/>
      <c r="J24" s="127"/>
      <c r="K24" s="128"/>
      <c r="L24" s="126" t="str">
        <f>'SET SP Sta.Mría'!$I17</f>
        <v>Mayor al 50%</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287</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7.25" customHeight="1">
      <c r="A29" s="143" t="s">
        <v>288</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75" customHeight="1">
      <c r="A30" s="143" t="s">
        <v>289</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8.75" customHeight="1">
      <c r="A31" s="143" t="s">
        <v>290</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7.25" customHeight="1">
      <c r="A32" s="143" t="s">
        <v>291</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7.25" customHeight="1">
      <c r="A33" s="143" t="s">
        <v>292</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8.75" customHeight="1">
      <c r="A34" s="143" t="s">
        <v>293</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7.25" customHeight="1">
      <c r="A35" s="143" t="s">
        <v>294</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3" t="s">
        <v>295</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3" t="s">
        <v>296</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3" t="s">
        <v>297</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3" t="s">
        <v>298</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3" t="s">
        <v>299</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40" t="s">
        <v>300</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3" t="s">
        <v>301</v>
      </c>
      <c r="B42" s="54"/>
      <c r="C42" s="54"/>
      <c r="D42" s="54"/>
      <c r="E42" s="54"/>
      <c r="F42" s="54"/>
      <c r="G42" s="54"/>
      <c r="H42" s="54"/>
      <c r="I42" s="54"/>
      <c r="J42" s="54"/>
      <c r="K42" s="54"/>
      <c r="L42" s="54"/>
      <c r="M42" s="55"/>
      <c r="N42" s="146"/>
      <c r="O42" s="59"/>
      <c r="P42" s="41"/>
      <c r="Q42" s="41"/>
      <c r="R42" s="41"/>
      <c r="S42" s="41"/>
      <c r="T42" s="41"/>
      <c r="U42" s="41"/>
      <c r="V42" s="41"/>
      <c r="W42" s="41"/>
      <c r="X42" s="41"/>
      <c r="Y42" s="41"/>
      <c r="Z42" s="41"/>
    </row>
    <row r="43" ht="12.75" customHeight="1">
      <c r="A43" s="147"/>
      <c r="B43" s="54"/>
      <c r="C43" s="54"/>
      <c r="D43" s="54"/>
      <c r="E43" s="54"/>
      <c r="F43" s="54"/>
      <c r="G43" s="54"/>
      <c r="H43" s="54"/>
      <c r="I43" s="54"/>
      <c r="J43" s="54"/>
      <c r="K43" s="54"/>
      <c r="L43" s="54"/>
      <c r="M43" s="55"/>
      <c r="N43" s="146"/>
      <c r="O43" s="59"/>
      <c r="P43" s="41"/>
      <c r="Q43" s="41"/>
      <c r="R43" s="41"/>
      <c r="S43" s="41"/>
      <c r="T43" s="41"/>
      <c r="U43" s="41"/>
      <c r="V43" s="41"/>
      <c r="W43" s="41"/>
      <c r="X43" s="41"/>
      <c r="Y43" s="41"/>
      <c r="Z43" s="41"/>
    </row>
    <row r="44" ht="12.75" customHeight="1">
      <c r="A44" s="147"/>
      <c r="B44" s="54"/>
      <c r="C44" s="54"/>
      <c r="D44" s="54"/>
      <c r="E44" s="54"/>
      <c r="F44" s="54"/>
      <c r="G44" s="54"/>
      <c r="H44" s="54"/>
      <c r="I44" s="54"/>
      <c r="J44" s="54"/>
      <c r="K44" s="54"/>
      <c r="L44" s="54"/>
      <c r="M44" s="55"/>
      <c r="N44" s="146"/>
      <c r="O44" s="59"/>
      <c r="P44" s="41"/>
      <c r="Q44" s="41"/>
      <c r="R44" s="41"/>
      <c r="S44" s="41"/>
      <c r="T44" s="41"/>
      <c r="U44" s="41"/>
      <c r="V44" s="41"/>
      <c r="W44" s="41"/>
      <c r="X44" s="41"/>
      <c r="Y44" s="41"/>
      <c r="Z44" s="41"/>
    </row>
    <row r="45" ht="5.25" customHeight="1">
      <c r="A45" s="148"/>
      <c r="B45" s="88"/>
      <c r="C45" s="88"/>
      <c r="D45" s="88"/>
      <c r="E45" s="88"/>
      <c r="F45" s="88"/>
      <c r="G45" s="88"/>
      <c r="H45" s="88"/>
      <c r="I45" s="88"/>
      <c r="J45" s="88"/>
      <c r="K45" s="88"/>
      <c r="L45" s="88"/>
      <c r="M45" s="88"/>
      <c r="N45" s="88"/>
      <c r="O45" s="149"/>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187</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188</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189</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190</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191</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192</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196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206</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72</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213</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215</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217</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50" t="s">
        <v>218</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8">
        <v>0.3</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58">
        <v>0.299</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8">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O45"/>
    <mergeCell ref="A40:M40"/>
    <mergeCell ref="N40:O40"/>
    <mergeCell ref="A41:M41"/>
    <mergeCell ref="N41:O41"/>
    <mergeCell ref="A42:M42"/>
    <mergeCell ref="N42:O42"/>
    <mergeCell ref="N43:O43"/>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0"/>
    <col customWidth="1" hidden="1" min="17" max="18" width="6.0"/>
    <col customWidth="1" min="19" max="19" width="6.0"/>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3.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75" customHeight="1">
      <c r="A3" s="42"/>
      <c r="D3" s="38" t="s">
        <v>302</v>
      </c>
      <c r="E3" s="36"/>
      <c r="F3" s="36"/>
      <c r="G3" s="36"/>
      <c r="H3" s="36"/>
      <c r="I3" s="36"/>
      <c r="J3" s="36"/>
      <c r="K3" s="36"/>
      <c r="L3" s="36"/>
      <c r="M3" s="36"/>
      <c r="N3" s="36"/>
      <c r="O3" s="40"/>
      <c r="P3" s="41"/>
      <c r="Q3" s="41"/>
      <c r="R3" s="41"/>
      <c r="S3" s="41"/>
      <c r="T3" s="41"/>
      <c r="U3" s="41"/>
      <c r="V3" s="41"/>
      <c r="W3" s="41"/>
      <c r="X3" s="41"/>
      <c r="Y3" s="41"/>
      <c r="Z3" s="41"/>
    </row>
    <row r="4" ht="13.5"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Sta.Mría'!$B18</f>
        <v>Continuidad del servicio (Acueducto)</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Sta.Mría'!F18</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Sta.Mría'!A18</f>
        <v>IN11</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39.75" customHeight="1">
      <c r="A11" s="80" t="str">
        <f>'SET SP Sta.Mría'!$C18</f>
        <v>Prestar el servico de acueducto en forma continua las 24 horas.</v>
      </c>
      <c r="B11" s="63"/>
      <c r="C11" s="63"/>
      <c r="D11" s="64"/>
      <c r="E11" s="81" t="s">
        <v>70</v>
      </c>
      <c r="F11" s="82" t="str">
        <f>'SET SP Sta.Mría'!$D18</f>
        <v>(720 - Horas sin servicio mensuales) / 720) * 100</v>
      </c>
      <c r="G11" s="64"/>
      <c r="H11" s="83">
        <f>$O18</f>
        <v>0.99</v>
      </c>
      <c r="I11" s="84" t="str">
        <f>'SET SP Sta.Mría'!$E18</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+'10'!A15:O15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0">
        <f t="shared" ref="C17:N17" si="1">$O$17</f>
        <v>0.98</v>
      </c>
      <c r="D17" s="100">
        <f t="shared" si="1"/>
        <v>0.98</v>
      </c>
      <c r="E17" s="100">
        <f t="shared" si="1"/>
        <v>0.98</v>
      </c>
      <c r="F17" s="100">
        <f t="shared" si="1"/>
        <v>0.98</v>
      </c>
      <c r="G17" s="100">
        <f t="shared" si="1"/>
        <v>0.98</v>
      </c>
      <c r="H17" s="100">
        <f t="shared" si="1"/>
        <v>0.98</v>
      </c>
      <c r="I17" s="100">
        <f t="shared" si="1"/>
        <v>0.98</v>
      </c>
      <c r="J17" s="100">
        <f t="shared" si="1"/>
        <v>0.98</v>
      </c>
      <c r="K17" s="100">
        <f t="shared" si="1"/>
        <v>0.98</v>
      </c>
      <c r="L17" s="100">
        <f t="shared" si="1"/>
        <v>0.98</v>
      </c>
      <c r="M17" s="100">
        <f t="shared" si="1"/>
        <v>0.98</v>
      </c>
      <c r="N17" s="100">
        <f t="shared" si="1"/>
        <v>0.98</v>
      </c>
      <c r="O17" s="165">
        <f>'SET SP Sta.Mría'!J18</f>
        <v>0.98</v>
      </c>
      <c r="P17" s="41"/>
      <c r="Q17" s="41"/>
      <c r="R17" s="41"/>
      <c r="S17" s="41"/>
      <c r="T17" s="41"/>
      <c r="U17" s="41"/>
      <c r="V17" s="92"/>
      <c r="W17" s="95"/>
      <c r="X17" s="95"/>
      <c r="Y17" s="41"/>
      <c r="Z17" s="41"/>
    </row>
    <row r="18" ht="17.25" customHeight="1">
      <c r="A18" s="99" t="str">
        <f>+'10'!A18:B18</f>
        <v>META  AÑO 2025</v>
      </c>
      <c r="B18" s="55"/>
      <c r="C18" s="100">
        <f t="shared" ref="C18:N18" si="2">$O$18</f>
        <v>0.99</v>
      </c>
      <c r="D18" s="100">
        <f t="shared" si="2"/>
        <v>0.99</v>
      </c>
      <c r="E18" s="100">
        <f t="shared" si="2"/>
        <v>0.99</v>
      </c>
      <c r="F18" s="100">
        <f t="shared" si="2"/>
        <v>0.99</v>
      </c>
      <c r="G18" s="100">
        <f t="shared" si="2"/>
        <v>0.99</v>
      </c>
      <c r="H18" s="100">
        <f t="shared" si="2"/>
        <v>0.99</v>
      </c>
      <c r="I18" s="100">
        <f t="shared" si="2"/>
        <v>0.99</v>
      </c>
      <c r="J18" s="100">
        <f t="shared" si="2"/>
        <v>0.99</v>
      </c>
      <c r="K18" s="100">
        <f t="shared" si="2"/>
        <v>0.99</v>
      </c>
      <c r="L18" s="100">
        <f t="shared" si="2"/>
        <v>0.99</v>
      </c>
      <c r="M18" s="100">
        <f t="shared" si="2"/>
        <v>0.99</v>
      </c>
      <c r="N18" s="100">
        <f t="shared" si="2"/>
        <v>0.99</v>
      </c>
      <c r="O18" s="165">
        <f>'SET SP Sta.Mría'!K18</f>
        <v>0.99</v>
      </c>
      <c r="P18" s="41"/>
      <c r="Q18" s="41"/>
      <c r="R18" s="41"/>
      <c r="S18" s="41"/>
      <c r="T18" s="41"/>
      <c r="U18" s="41"/>
      <c r="V18" s="92"/>
      <c r="W18" s="95"/>
      <c r="X18" s="95"/>
      <c r="Y18" s="41"/>
      <c r="Z18" s="41"/>
    </row>
    <row r="19" ht="17.25" customHeight="1">
      <c r="A19" s="106" t="s">
        <v>91</v>
      </c>
      <c r="B19" s="55"/>
      <c r="C19" s="107" t="str">
        <f t="shared" ref="C19:O19" si="3">IF(ISNUMBER(C20),(720-C20)/720,"-")</f>
        <v>-</v>
      </c>
      <c r="D19" s="107" t="str">
        <f t="shared" si="3"/>
        <v>-</v>
      </c>
      <c r="E19" s="107" t="str">
        <f t="shared" si="3"/>
        <v>-</v>
      </c>
      <c r="F19" s="107" t="str">
        <f t="shared" si="3"/>
        <v>-</v>
      </c>
      <c r="G19" s="107" t="str">
        <f t="shared" si="3"/>
        <v>-</v>
      </c>
      <c r="H19" s="107" t="str">
        <f t="shared" si="3"/>
        <v>-</v>
      </c>
      <c r="I19" s="107" t="str">
        <f t="shared" si="3"/>
        <v>-</v>
      </c>
      <c r="J19" s="107" t="str">
        <f t="shared" si="3"/>
        <v>-</v>
      </c>
      <c r="K19" s="107">
        <f t="shared" si="3"/>
        <v>-0.7194444444</v>
      </c>
      <c r="L19" s="107" t="str">
        <f t="shared" si="3"/>
        <v>-</v>
      </c>
      <c r="M19" s="107" t="str">
        <f t="shared" si="3"/>
        <v>-</v>
      </c>
      <c r="N19" s="107" t="str">
        <f t="shared" si="3"/>
        <v>-</v>
      </c>
      <c r="O19" s="109">
        <f t="shared" si="3"/>
        <v>-0.7194444444</v>
      </c>
      <c r="P19" s="41"/>
      <c r="Q19" s="41"/>
      <c r="R19" s="41"/>
      <c r="S19" s="41"/>
      <c r="T19" s="41"/>
      <c r="U19" s="41"/>
      <c r="V19" s="92"/>
      <c r="W19" s="95"/>
      <c r="X19" s="95"/>
      <c r="Y19" s="41"/>
      <c r="Z19" s="41"/>
    </row>
    <row r="20" ht="16.5" customHeight="1">
      <c r="A20" s="110" t="s">
        <v>92</v>
      </c>
      <c r="B20" s="111" t="s">
        <v>303</v>
      </c>
      <c r="C20" s="118" t="str">
        <f>+'STA MARIA2020'!D39</f>
        <v/>
      </c>
      <c r="D20" s="118" t="str">
        <f>+'STA MARIA2020'!E39</f>
        <v/>
      </c>
      <c r="E20" s="118" t="str">
        <f>+'STA MARIA2020'!F39</f>
        <v/>
      </c>
      <c r="F20" s="118" t="str">
        <f>+'STA MARIA2020'!G39</f>
        <v/>
      </c>
      <c r="G20" s="118" t="str">
        <f>+'STA MARIA2020'!H39</f>
        <v/>
      </c>
      <c r="H20" s="118" t="str">
        <f>+'STA MARIA2020'!I39</f>
        <v/>
      </c>
      <c r="I20" s="118" t="str">
        <f>+'STA MARIA2020'!J39</f>
        <v/>
      </c>
      <c r="J20" s="118" t="str">
        <f>+'STA MARIA2020'!K39</f>
        <v/>
      </c>
      <c r="K20" s="118">
        <f>+'STA MARIA2020'!L38</f>
        <v>1238</v>
      </c>
      <c r="L20" s="118" t="str">
        <f>+'STA MARIA2020'!M39</f>
        <v/>
      </c>
      <c r="M20" s="118" t="str">
        <f>+'STA MARIA2020'!N39</f>
        <v/>
      </c>
      <c r="N20" s="118" t="str">
        <f>+'STA MARIA2020'!O39</f>
        <v/>
      </c>
      <c r="O20" s="181">
        <f>AVERAGE(C20:N20)</f>
        <v>1238</v>
      </c>
      <c r="P20" s="41"/>
      <c r="Q20" s="41"/>
      <c r="R20" s="41"/>
      <c r="S20" s="41"/>
      <c r="T20" s="41"/>
      <c r="U20" s="41"/>
      <c r="V20" s="92"/>
      <c r="W20" s="95"/>
      <c r="X20" s="95"/>
      <c r="Y20" s="41"/>
      <c r="Z20" s="41"/>
    </row>
    <row r="21" ht="13.5" customHeight="1">
      <c r="A21" s="115"/>
      <c r="B21" s="117" t="s">
        <v>107</v>
      </c>
      <c r="C21" s="118"/>
      <c r="D21" s="118"/>
      <c r="E21" s="118"/>
      <c r="F21" s="118"/>
      <c r="G21" s="118"/>
      <c r="H21" s="118"/>
      <c r="I21" s="118"/>
      <c r="J21" s="118"/>
      <c r="K21" s="118"/>
      <c r="L21" s="118"/>
      <c r="M21" s="118"/>
      <c r="N21" s="118"/>
      <c r="O21" s="119"/>
      <c r="P21" s="41"/>
      <c r="Q21" s="41"/>
      <c r="R21" s="41"/>
      <c r="S21" s="41"/>
      <c r="T21" s="41"/>
      <c r="U21" s="41"/>
      <c r="V21" s="92"/>
      <c r="W21" s="95"/>
      <c r="X21" s="95"/>
      <c r="Y21" s="41"/>
      <c r="Z21" s="41"/>
    </row>
    <row r="22" ht="14.2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4.25"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Sta.Mría'!$G18</f>
        <v>Entre 80% y 100%</v>
      </c>
      <c r="E24" s="127"/>
      <c r="F24" s="127"/>
      <c r="G24" s="128"/>
      <c r="H24" s="126" t="str">
        <f>'SET SP Sta.Mría'!$H18</f>
        <v>Entre 60% y 79%</v>
      </c>
      <c r="I24" s="127"/>
      <c r="J24" s="127"/>
      <c r="K24" s="128"/>
      <c r="L24" s="126" t="str">
        <f>'SET SP Sta.Mría'!$I18</f>
        <v>Menor al 59%</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304</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7"/>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7"/>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7"/>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7"/>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7"/>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7"/>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7"/>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7"/>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7"/>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7"/>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7"/>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7"/>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40" t="s">
        <v>305</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7" t="s">
        <v>107</v>
      </c>
      <c r="B42" s="54"/>
      <c r="C42" s="54"/>
      <c r="D42" s="54"/>
      <c r="E42" s="54"/>
      <c r="F42" s="54"/>
      <c r="G42" s="54"/>
      <c r="H42" s="54"/>
      <c r="I42" s="54"/>
      <c r="J42" s="54"/>
      <c r="K42" s="54"/>
      <c r="L42" s="54"/>
      <c r="M42" s="55"/>
      <c r="N42" s="146" t="s">
        <v>107</v>
      </c>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5.25"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57">
        <v>0.9</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7">
        <v>0.95</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6.29"/>
    <col customWidth="1" hidden="1" min="17" max="18" width="6.29"/>
    <col customWidth="1" min="19" max="19" width="6.29"/>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2.0" customHeight="1">
      <c r="A2" s="42"/>
      <c r="D2" s="43" t="s">
        <v>1</v>
      </c>
      <c r="E2" s="44"/>
      <c r="F2" s="44"/>
      <c r="G2" s="44"/>
      <c r="H2" s="44"/>
      <c r="I2" s="44"/>
      <c r="J2" s="44"/>
      <c r="K2" s="44"/>
      <c r="L2" s="44"/>
      <c r="M2" s="44"/>
      <c r="N2" s="44"/>
      <c r="O2" s="45"/>
      <c r="P2" s="41"/>
      <c r="Q2" s="41"/>
      <c r="R2" s="41"/>
      <c r="S2" s="41"/>
      <c r="T2" s="41"/>
      <c r="U2" s="41"/>
      <c r="V2" s="41"/>
      <c r="W2" s="41"/>
      <c r="X2" s="41"/>
      <c r="Y2" s="41"/>
      <c r="Z2" s="41"/>
    </row>
    <row r="3" ht="15.75" customHeight="1">
      <c r="A3" s="42"/>
      <c r="D3" s="38" t="s">
        <v>306</v>
      </c>
      <c r="E3" s="36"/>
      <c r="F3" s="36"/>
      <c r="G3" s="36"/>
      <c r="H3" s="36"/>
      <c r="I3" s="36"/>
      <c r="J3" s="36"/>
      <c r="K3" s="36"/>
      <c r="L3" s="36"/>
      <c r="M3" s="36"/>
      <c r="N3" s="36"/>
      <c r="O3" s="40"/>
      <c r="P3" s="41"/>
      <c r="Q3" s="41"/>
      <c r="R3" s="41"/>
      <c r="S3" s="41"/>
      <c r="T3" s="41"/>
      <c r="U3" s="41"/>
      <c r="V3" s="41"/>
      <c r="W3" s="41"/>
      <c r="X3" s="41"/>
      <c r="Y3" s="41"/>
      <c r="Z3" s="41"/>
    </row>
    <row r="4" ht="12.75"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Sta.Mría'!$B19</f>
        <v>Continuidad del Servicio (Aseo)</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Sta.Mría'!F19</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Sta.Mría'!A19</f>
        <v>IN12</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48.75" customHeight="1">
      <c r="A11" s="80" t="str">
        <f>'SET SP Sta.Mría'!$C19</f>
        <v>Recolectar los residuos solidos en los dias y rutas establecidas en el PEGIRS.</v>
      </c>
      <c r="B11" s="63"/>
      <c r="C11" s="63"/>
      <c r="D11" s="64"/>
      <c r="E11" s="81" t="s">
        <v>70</v>
      </c>
      <c r="F11" s="82" t="str">
        <f>'SET SP Sta.Mría'!$D19</f>
        <v>Número de dias de recolección de residuos sólidos por semestre/ 144</v>
      </c>
      <c r="G11" s="64"/>
      <c r="H11" s="83">
        <f>$O18</f>
        <v>1</v>
      </c>
      <c r="I11" s="84" t="str">
        <f>'SET SP Sta.Mría'!$E19</f>
        <v>Semestral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+'11'!A15:O15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0">
        <f t="shared" ref="C17:N17" si="1">$O$17</f>
        <v>0.98</v>
      </c>
      <c r="D17" s="100">
        <f t="shared" si="1"/>
        <v>0.98</v>
      </c>
      <c r="E17" s="100">
        <f t="shared" si="1"/>
        <v>0.98</v>
      </c>
      <c r="F17" s="100">
        <f t="shared" si="1"/>
        <v>0.98</v>
      </c>
      <c r="G17" s="100">
        <f t="shared" si="1"/>
        <v>0.98</v>
      </c>
      <c r="H17" s="100">
        <f t="shared" si="1"/>
        <v>0.98</v>
      </c>
      <c r="I17" s="100">
        <f t="shared" si="1"/>
        <v>0.98</v>
      </c>
      <c r="J17" s="100">
        <f t="shared" si="1"/>
        <v>0.98</v>
      </c>
      <c r="K17" s="100">
        <f t="shared" si="1"/>
        <v>0.98</v>
      </c>
      <c r="L17" s="100">
        <f t="shared" si="1"/>
        <v>0.98</v>
      </c>
      <c r="M17" s="100">
        <f t="shared" si="1"/>
        <v>0.98</v>
      </c>
      <c r="N17" s="100">
        <f t="shared" si="1"/>
        <v>0.98</v>
      </c>
      <c r="O17" s="165">
        <f>'SET SP Sta.Mría'!J19</f>
        <v>0.98</v>
      </c>
      <c r="P17" s="41"/>
      <c r="Q17" s="41"/>
      <c r="R17" s="41"/>
      <c r="S17" s="41"/>
      <c r="T17" s="41"/>
      <c r="U17" s="41"/>
      <c r="V17" s="92"/>
      <c r="W17" s="95"/>
      <c r="X17" s="95"/>
      <c r="Y17" s="41"/>
      <c r="Z17" s="41"/>
    </row>
    <row r="18" ht="17.25" customHeight="1">
      <c r="A18" s="99" t="str">
        <f>+'11'!A18:B18</f>
        <v>META  AÑO 2025</v>
      </c>
      <c r="B18" s="55"/>
      <c r="C18" s="100">
        <f t="shared" ref="C18:N18" si="2">$O$18</f>
        <v>1</v>
      </c>
      <c r="D18" s="100">
        <f t="shared" si="2"/>
        <v>1</v>
      </c>
      <c r="E18" s="100">
        <f t="shared" si="2"/>
        <v>1</v>
      </c>
      <c r="F18" s="100">
        <f t="shared" si="2"/>
        <v>1</v>
      </c>
      <c r="G18" s="100">
        <f t="shared" si="2"/>
        <v>1</v>
      </c>
      <c r="H18" s="100">
        <f t="shared" si="2"/>
        <v>1</v>
      </c>
      <c r="I18" s="100">
        <f t="shared" si="2"/>
        <v>1</v>
      </c>
      <c r="J18" s="100">
        <f t="shared" si="2"/>
        <v>1</v>
      </c>
      <c r="K18" s="100">
        <f t="shared" si="2"/>
        <v>1</v>
      </c>
      <c r="L18" s="100">
        <f t="shared" si="2"/>
        <v>1</v>
      </c>
      <c r="M18" s="100">
        <f t="shared" si="2"/>
        <v>1</v>
      </c>
      <c r="N18" s="100">
        <f t="shared" si="2"/>
        <v>1</v>
      </c>
      <c r="O18" s="165">
        <f>'SET SP Sta.Mría'!K19</f>
        <v>1</v>
      </c>
      <c r="P18" s="41"/>
      <c r="Q18" s="41"/>
      <c r="R18" s="41"/>
      <c r="S18" s="41"/>
      <c r="T18" s="41"/>
      <c r="U18" s="41"/>
      <c r="V18" s="92"/>
      <c r="W18" s="95"/>
      <c r="X18" s="95"/>
      <c r="Y18" s="41"/>
      <c r="Z18" s="41"/>
    </row>
    <row r="19" ht="17.25" customHeight="1">
      <c r="A19" s="106" t="s">
        <v>91</v>
      </c>
      <c r="B19" s="55"/>
      <c r="C19" s="107" t="str">
        <f t="shared" ref="C19:N19" si="3">IF(ISNUMBER(C20),C20/144,"-")</f>
        <v>-</v>
      </c>
      <c r="D19" s="107" t="str">
        <f t="shared" si="3"/>
        <v>-</v>
      </c>
      <c r="E19" s="107" t="str">
        <f t="shared" si="3"/>
        <v>-</v>
      </c>
      <c r="F19" s="107" t="str">
        <f t="shared" si="3"/>
        <v>-</v>
      </c>
      <c r="G19" s="107" t="str">
        <f t="shared" si="3"/>
        <v>-</v>
      </c>
      <c r="H19" s="107" t="str">
        <f t="shared" si="3"/>
        <v>-</v>
      </c>
      <c r="I19" s="107" t="str">
        <f t="shared" si="3"/>
        <v>-</v>
      </c>
      <c r="J19" s="107" t="str">
        <f t="shared" si="3"/>
        <v>-</v>
      </c>
      <c r="K19" s="107" t="str">
        <f t="shared" si="3"/>
        <v>-</v>
      </c>
      <c r="L19" s="107" t="str">
        <f t="shared" si="3"/>
        <v>-</v>
      </c>
      <c r="M19" s="107" t="str">
        <f t="shared" si="3"/>
        <v>-</v>
      </c>
      <c r="N19" s="107" t="str">
        <f t="shared" si="3"/>
        <v>-</v>
      </c>
      <c r="O19" s="109" t="str">
        <f>IF((O20),O20/144,"-")</f>
        <v>-</v>
      </c>
      <c r="P19" s="41"/>
      <c r="Q19" s="41"/>
      <c r="R19" s="41"/>
      <c r="S19" s="41"/>
      <c r="T19" s="41"/>
      <c r="U19" s="41"/>
      <c r="V19" s="92"/>
      <c r="W19" s="95"/>
      <c r="X19" s="95"/>
      <c r="Y19" s="41"/>
      <c r="Z19" s="41"/>
    </row>
    <row r="20" ht="21.75" customHeight="1">
      <c r="A20" s="110" t="s">
        <v>92</v>
      </c>
      <c r="B20" s="111" t="s">
        <v>307</v>
      </c>
      <c r="C20" s="118" t="s">
        <v>308</v>
      </c>
      <c r="D20" s="118" t="s">
        <v>308</v>
      </c>
      <c r="E20" s="118" t="s">
        <v>308</v>
      </c>
      <c r="F20" s="118" t="s">
        <v>308</v>
      </c>
      <c r="G20" s="118" t="s">
        <v>308</v>
      </c>
      <c r="H20" s="118" t="s">
        <v>308</v>
      </c>
      <c r="I20" s="118" t="s">
        <v>308</v>
      </c>
      <c r="J20" s="118" t="s">
        <v>308</v>
      </c>
      <c r="K20" s="118" t="s">
        <v>308</v>
      </c>
      <c r="L20" s="118" t="s">
        <v>308</v>
      </c>
      <c r="M20" s="118" t="s">
        <v>308</v>
      </c>
      <c r="N20" s="118" t="s">
        <v>308</v>
      </c>
      <c r="O20" s="119">
        <f>SUM(C20:N20)</f>
        <v>0</v>
      </c>
      <c r="P20" s="41"/>
      <c r="Q20" s="41"/>
      <c r="R20" s="41"/>
      <c r="S20" s="41"/>
      <c r="T20" s="41"/>
      <c r="U20" s="41"/>
      <c r="V20" s="92"/>
      <c r="W20" s="95"/>
      <c r="X20" s="95"/>
      <c r="Y20" s="41"/>
      <c r="Z20" s="41"/>
    </row>
    <row r="21" ht="18.0" customHeight="1">
      <c r="A21" s="115"/>
      <c r="B21" s="111"/>
      <c r="C21" s="118"/>
      <c r="D21" s="118"/>
      <c r="E21" s="118"/>
      <c r="F21" s="118"/>
      <c r="G21" s="118"/>
      <c r="H21" s="118"/>
      <c r="I21" s="118"/>
      <c r="J21" s="118"/>
      <c r="K21" s="118"/>
      <c r="L21" s="118"/>
      <c r="M21" s="118"/>
      <c r="N21" s="118"/>
      <c r="O21" s="119"/>
      <c r="P21" s="41"/>
      <c r="Q21" s="41"/>
      <c r="R21" s="41"/>
      <c r="S21" s="41"/>
      <c r="T21" s="41"/>
      <c r="U21" s="41"/>
      <c r="V21" s="92"/>
      <c r="W21" s="95"/>
      <c r="X21" s="95"/>
      <c r="Y21" s="41"/>
      <c r="Z21" s="41"/>
    </row>
    <row r="22" ht="13.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3.5"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Sta.Mría'!$G19</f>
        <v>Entre 91% y 100%</v>
      </c>
      <c r="E24" s="127"/>
      <c r="F24" s="127"/>
      <c r="G24" s="128"/>
      <c r="H24" s="126" t="str">
        <f>'SET SP Sta.Mría'!$H19</f>
        <v>Entre 71% y 90%</v>
      </c>
      <c r="I24" s="127"/>
      <c r="J24" s="127"/>
      <c r="K24" s="128"/>
      <c r="L24" s="126" t="str">
        <f>'SET SP Sta.Mría'!$I19</f>
        <v>Menor al 70%</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309</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7" t="s">
        <v>310</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7" t="s">
        <v>310</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7" t="s">
        <v>310</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7" t="s">
        <v>310</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7" t="s">
        <v>310</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7"/>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7"/>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7"/>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7"/>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7"/>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7"/>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7"/>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40" t="s">
        <v>311</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7" t="s">
        <v>107</v>
      </c>
      <c r="B42" s="54"/>
      <c r="C42" s="54"/>
      <c r="D42" s="54"/>
      <c r="E42" s="54"/>
      <c r="F42" s="54"/>
      <c r="G42" s="54"/>
      <c r="H42" s="54"/>
      <c r="I42" s="54"/>
      <c r="J42" s="54"/>
      <c r="K42" s="54"/>
      <c r="L42" s="54"/>
      <c r="M42" s="55"/>
      <c r="N42" s="146" t="s">
        <v>107</v>
      </c>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5.25"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57">
        <v>0.98</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7">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8.14"/>
    <col customWidth="1" hidden="1" min="17" max="17" width="8.0"/>
    <col customWidth="1" hidden="1" min="18"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2.0" customHeight="1">
      <c r="A2" s="42"/>
      <c r="D2" s="43" t="s">
        <v>1</v>
      </c>
      <c r="E2" s="44"/>
      <c r="F2" s="44"/>
      <c r="G2" s="44"/>
      <c r="H2" s="44"/>
      <c r="I2" s="44"/>
      <c r="J2" s="44"/>
      <c r="K2" s="44"/>
      <c r="L2" s="44"/>
      <c r="M2" s="44"/>
      <c r="N2" s="44"/>
      <c r="O2" s="45"/>
      <c r="P2" s="41"/>
      <c r="Q2" s="41"/>
      <c r="R2" s="41"/>
      <c r="S2" s="41"/>
      <c r="T2" s="41"/>
      <c r="U2" s="41"/>
      <c r="V2" s="41"/>
      <c r="W2" s="41"/>
      <c r="X2" s="41"/>
      <c r="Y2" s="41"/>
      <c r="Z2" s="41"/>
    </row>
    <row r="3" ht="15.0" customHeight="1">
      <c r="A3" s="42"/>
      <c r="D3" s="38" t="s">
        <v>312</v>
      </c>
      <c r="E3" s="36"/>
      <c r="F3" s="36"/>
      <c r="G3" s="36"/>
      <c r="H3" s="36"/>
      <c r="I3" s="36"/>
      <c r="J3" s="36"/>
      <c r="K3" s="36"/>
      <c r="L3" s="36"/>
      <c r="M3" s="36"/>
      <c r="N3" s="36"/>
      <c r="O3" s="40"/>
      <c r="P3" s="41"/>
      <c r="Q3" s="41"/>
      <c r="R3" s="41"/>
      <c r="S3" s="41"/>
      <c r="T3" s="41"/>
      <c r="U3" s="41"/>
      <c r="V3" s="41"/>
      <c r="W3" s="41"/>
      <c r="X3" s="41"/>
      <c r="Y3" s="41"/>
      <c r="Z3" s="41"/>
    </row>
    <row r="4" ht="11.25"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Sta.Mría'!$B20</f>
        <v>PQR en la prestación del servicio.</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Sta.Mría'!F20</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Sta.Mría'!A20</f>
        <v>IN13</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48.0" customHeight="1">
      <c r="A11" s="80" t="str">
        <f>'SET SP Sta.Mría'!$C20</f>
        <v>Medir el grado de satisfación de los suscriptores en la prestación del servicio.</v>
      </c>
      <c r="B11" s="63"/>
      <c r="C11" s="63"/>
      <c r="D11" s="64"/>
      <c r="E11" s="81" t="s">
        <v>70</v>
      </c>
      <c r="F11" s="82" t="str">
        <f>'SET SP Sta.Mría'!$D20</f>
        <v>Número de PQR recibidas / número de suscriptores del servicio *100</v>
      </c>
      <c r="G11" s="64"/>
      <c r="H11" s="83" t="str">
        <f>$O18</f>
        <v>&lt; %</v>
      </c>
      <c r="I11" s="84" t="str">
        <f>'SET SP Sta.Mría'!$E20</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+'12'!A15:O15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0" t="str">
        <f t="shared" ref="C17:N17" si="1">$O$17</f>
        <v>&lt; 1%</v>
      </c>
      <c r="D17" s="100" t="str">
        <f t="shared" si="1"/>
        <v>&lt; 1%</v>
      </c>
      <c r="E17" s="100" t="str">
        <f t="shared" si="1"/>
        <v>&lt; 1%</v>
      </c>
      <c r="F17" s="100" t="str">
        <f t="shared" si="1"/>
        <v>&lt; 1%</v>
      </c>
      <c r="G17" s="100" t="str">
        <f t="shared" si="1"/>
        <v>&lt; 1%</v>
      </c>
      <c r="H17" s="100" t="str">
        <f t="shared" si="1"/>
        <v>&lt; 1%</v>
      </c>
      <c r="I17" s="100" t="str">
        <f t="shared" si="1"/>
        <v>&lt; 1%</v>
      </c>
      <c r="J17" s="100" t="str">
        <f t="shared" si="1"/>
        <v>&lt; 1%</v>
      </c>
      <c r="K17" s="100" t="str">
        <f t="shared" si="1"/>
        <v>&lt; 1%</v>
      </c>
      <c r="L17" s="100" t="str">
        <f t="shared" si="1"/>
        <v>&lt; 1%</v>
      </c>
      <c r="M17" s="100" t="str">
        <f t="shared" si="1"/>
        <v>&lt; 1%</v>
      </c>
      <c r="N17" s="100" t="str">
        <f t="shared" si="1"/>
        <v>&lt; 1%</v>
      </c>
      <c r="O17" s="165" t="str">
        <f>'SET SP Sta.Mría'!J20</f>
        <v>&lt; 1%</v>
      </c>
      <c r="P17" s="41"/>
      <c r="Q17" s="41"/>
      <c r="R17" s="41"/>
      <c r="S17" s="41"/>
      <c r="T17" s="41"/>
      <c r="U17" s="41"/>
      <c r="V17" s="92"/>
      <c r="W17" s="95"/>
      <c r="X17" s="95"/>
      <c r="Y17" s="41"/>
      <c r="Z17" s="41"/>
    </row>
    <row r="18" ht="17.25" customHeight="1">
      <c r="A18" s="99" t="str">
        <f>+'12'!A18:B18</f>
        <v>META  AÑO 2025</v>
      </c>
      <c r="B18" s="55"/>
      <c r="C18" s="100" t="str">
        <f t="shared" ref="C18:N18" si="2">$O$18</f>
        <v>&lt; %</v>
      </c>
      <c r="D18" s="100" t="str">
        <f t="shared" si="2"/>
        <v>&lt; %</v>
      </c>
      <c r="E18" s="100" t="str">
        <f t="shared" si="2"/>
        <v>&lt; %</v>
      </c>
      <c r="F18" s="100" t="str">
        <f t="shared" si="2"/>
        <v>&lt; %</v>
      </c>
      <c r="G18" s="100" t="str">
        <f t="shared" si="2"/>
        <v>&lt; %</v>
      </c>
      <c r="H18" s="100" t="str">
        <f t="shared" si="2"/>
        <v>&lt; %</v>
      </c>
      <c r="I18" s="100" t="str">
        <f t="shared" si="2"/>
        <v>&lt; %</v>
      </c>
      <c r="J18" s="100" t="str">
        <f t="shared" si="2"/>
        <v>&lt; %</v>
      </c>
      <c r="K18" s="100" t="str">
        <f t="shared" si="2"/>
        <v>&lt; %</v>
      </c>
      <c r="L18" s="100" t="str">
        <f t="shared" si="2"/>
        <v>&lt; %</v>
      </c>
      <c r="M18" s="100" t="str">
        <f t="shared" si="2"/>
        <v>&lt; %</v>
      </c>
      <c r="N18" s="100" t="str">
        <f t="shared" si="2"/>
        <v>&lt; %</v>
      </c>
      <c r="O18" s="165" t="str">
        <f>'SET SP Sta.Mría'!K20</f>
        <v>&lt; %</v>
      </c>
      <c r="P18" s="41"/>
      <c r="Q18" s="41"/>
      <c r="R18" s="41"/>
      <c r="S18" s="41"/>
      <c r="T18" s="41"/>
      <c r="U18" s="41"/>
      <c r="V18" s="92"/>
      <c r="W18" s="95"/>
      <c r="X18" s="95"/>
      <c r="Y18" s="41"/>
      <c r="Z18" s="41"/>
    </row>
    <row r="19" ht="17.25" customHeight="1">
      <c r="A19" s="106" t="s">
        <v>91</v>
      </c>
      <c r="B19" s="55"/>
      <c r="C19" s="107">
        <f t="shared" ref="C19:O19" si="3">IF((C21),C20/C21,"-")</f>
        <v>0</v>
      </c>
      <c r="D19" s="107">
        <f t="shared" si="3"/>
        <v>0.001782531194</v>
      </c>
      <c r="E19" s="107">
        <f t="shared" si="3"/>
        <v>0.00178412132</v>
      </c>
      <c r="F19" s="107">
        <f t="shared" si="3"/>
        <v>0</v>
      </c>
      <c r="G19" s="107">
        <f t="shared" si="3"/>
        <v>0</v>
      </c>
      <c r="H19" s="107">
        <f t="shared" si="3"/>
        <v>0</v>
      </c>
      <c r="I19" s="107">
        <f t="shared" si="3"/>
        <v>0</v>
      </c>
      <c r="J19" s="107">
        <f t="shared" si="3"/>
        <v>0</v>
      </c>
      <c r="K19" s="107">
        <f t="shared" si="3"/>
        <v>0.002586206897</v>
      </c>
      <c r="L19" s="107">
        <f t="shared" si="3"/>
        <v>0.002525252525</v>
      </c>
      <c r="M19" s="107">
        <f t="shared" si="3"/>
        <v>0</v>
      </c>
      <c r="N19" s="107">
        <f t="shared" si="3"/>
        <v>0</v>
      </c>
      <c r="O19" s="109">
        <f t="shared" si="3"/>
        <v>0.0004200268817</v>
      </c>
      <c r="P19" s="41"/>
      <c r="Q19" s="41"/>
      <c r="R19" s="41"/>
      <c r="S19" s="41"/>
      <c r="T19" s="41"/>
      <c r="U19" s="41"/>
      <c r="V19" s="92"/>
      <c r="W19" s="95"/>
      <c r="X19" s="95"/>
      <c r="Y19" s="41"/>
      <c r="Z19" s="41"/>
    </row>
    <row r="20" ht="15.0" customHeight="1">
      <c r="A20" s="110" t="s">
        <v>92</v>
      </c>
      <c r="B20" s="111" t="s">
        <v>313</v>
      </c>
      <c r="C20" s="102">
        <f>+'STA MARIA2020'!D40</f>
        <v>0</v>
      </c>
      <c r="D20" s="102">
        <f>+'STA MARIA2020'!E40</f>
        <v>2</v>
      </c>
      <c r="E20" s="102">
        <f>+'STA MARIA2020'!F40</f>
        <v>2</v>
      </c>
      <c r="F20" s="102">
        <f>+'STA MARIA2020'!G40</f>
        <v>0</v>
      </c>
      <c r="G20" s="102">
        <f>+'STA MARIA2020'!H40</f>
        <v>0</v>
      </c>
      <c r="H20" s="102">
        <f>+'STA MARIA2020'!I40</f>
        <v>0</v>
      </c>
      <c r="I20" s="102">
        <f>+'STA MARIA2020'!J40</f>
        <v>0</v>
      </c>
      <c r="J20" s="102">
        <f>+'STA MARIA2020'!K40</f>
        <v>0</v>
      </c>
      <c r="K20" s="102">
        <f>+'STA MARIA2020'!L40</f>
        <v>3</v>
      </c>
      <c r="L20" s="102">
        <f>+'STA MARIA2020'!M40</f>
        <v>3</v>
      </c>
      <c r="M20" s="102">
        <f>+'STA MARIA2020'!N40</f>
        <v>0</v>
      </c>
      <c r="N20" s="102">
        <f>+'STA MARIA2020'!O40</f>
        <v>0</v>
      </c>
      <c r="O20" s="167">
        <f t="shared" ref="O20:O21" si="4">SUM(C20:N20)</f>
        <v>10</v>
      </c>
      <c r="P20" s="41"/>
      <c r="Q20" s="41"/>
      <c r="R20" s="41"/>
      <c r="S20" s="41"/>
      <c r="T20" s="41"/>
      <c r="U20" s="41"/>
      <c r="V20" s="92"/>
      <c r="W20" s="95"/>
      <c r="X20" s="95"/>
      <c r="Y20" s="41"/>
      <c r="Z20" s="41"/>
    </row>
    <row r="21" ht="12.75" customHeight="1">
      <c r="A21" s="115"/>
      <c r="B21" s="111" t="s">
        <v>314</v>
      </c>
      <c r="C21" s="102">
        <f>+'06'!C20</f>
        <v>1123</v>
      </c>
      <c r="D21" s="102">
        <f>+'06'!D20</f>
        <v>1122</v>
      </c>
      <c r="E21" s="102">
        <f>+'06'!E20</f>
        <v>1121</v>
      </c>
      <c r="F21" s="102">
        <f>+'06'!F20</f>
        <v>1145</v>
      </c>
      <c r="G21" s="102">
        <f>+'06'!G20</f>
        <v>1133</v>
      </c>
      <c r="H21" s="102">
        <f>+'06'!H20</f>
        <v>11151</v>
      </c>
      <c r="I21" s="102">
        <f>+'06'!I20</f>
        <v>1173</v>
      </c>
      <c r="J21" s="102">
        <f>+'06'!J20</f>
        <v>1163</v>
      </c>
      <c r="K21" s="102">
        <f>+'06'!K20</f>
        <v>1160</v>
      </c>
      <c r="L21" s="102">
        <f>+'06'!L20</f>
        <v>1188</v>
      </c>
      <c r="M21" s="102">
        <f>+'06'!M20</f>
        <v>1156</v>
      </c>
      <c r="N21" s="102">
        <f>+'06'!N20</f>
        <v>1173</v>
      </c>
      <c r="O21" s="167">
        <f t="shared" si="4"/>
        <v>23808</v>
      </c>
      <c r="P21" s="41"/>
      <c r="Q21" s="41"/>
      <c r="R21" s="41"/>
      <c r="S21" s="41"/>
      <c r="T21" s="41"/>
      <c r="U21" s="41"/>
      <c r="V21" s="92"/>
      <c r="W21" s="95"/>
      <c r="X21" s="95"/>
      <c r="Y21" s="41"/>
      <c r="Z21" s="41"/>
    </row>
    <row r="22" ht="12.7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3.5"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Sta.Mría'!$G20</f>
        <v>Entre 0 y 10%</v>
      </c>
      <c r="E24" s="127"/>
      <c r="F24" s="127"/>
      <c r="G24" s="128"/>
      <c r="H24" s="126" t="str">
        <f>'SET SP Sta.Mría'!$H20</f>
        <v>Entre 11% y el 20%</v>
      </c>
      <c r="I24" s="127"/>
      <c r="J24" s="127"/>
      <c r="K24" s="128"/>
      <c r="L24" s="126" t="str">
        <f>'SET SP Sta.Mría'!$I20</f>
        <v>Mayor al 21%</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315</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3" t="s">
        <v>316</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3" t="s">
        <v>317</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3" t="s">
        <v>317</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3" t="s">
        <v>316</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3" t="s">
        <v>316</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3" t="s">
        <v>316</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3" t="s">
        <v>316</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3" t="s">
        <v>316</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3" t="s">
        <v>318</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3" t="s">
        <v>318</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3" t="s">
        <v>316</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3" t="s">
        <v>316</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40" t="s">
        <v>319</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3" t="s">
        <v>320</v>
      </c>
      <c r="B42" s="54"/>
      <c r="C42" s="54"/>
      <c r="D42" s="54"/>
      <c r="E42" s="54"/>
      <c r="F42" s="54"/>
      <c r="G42" s="54"/>
      <c r="H42" s="54"/>
      <c r="I42" s="54"/>
      <c r="J42" s="54"/>
      <c r="K42" s="54"/>
      <c r="L42" s="54"/>
      <c r="M42" s="55"/>
      <c r="N42" s="146" t="s">
        <v>107</v>
      </c>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5.25"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82" t="s">
        <v>321</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82" t="s">
        <v>322</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8.14"/>
    <col customWidth="1" hidden="1" min="17" max="18" width="8.14"/>
    <col customWidth="1" min="19" max="19" width="8.14"/>
    <col customWidth="1" min="20" max="20" width="11.43"/>
    <col customWidth="1" min="21" max="21" width="9.0"/>
    <col customWidth="1" min="22" max="22" width="5.71"/>
    <col customWidth="1" min="23" max="23" width="10.43"/>
    <col customWidth="1" min="24" max="24" width="10.0"/>
    <col customWidth="1" min="25" max="26" width="10.71"/>
  </cols>
  <sheetData>
    <row r="1" ht="12.7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3.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0" customHeight="1">
      <c r="A3" s="42"/>
      <c r="D3" s="38" t="s">
        <v>323</v>
      </c>
      <c r="E3" s="36"/>
      <c r="F3" s="36"/>
      <c r="G3" s="36"/>
      <c r="H3" s="36"/>
      <c r="I3" s="36"/>
      <c r="J3" s="36"/>
      <c r="K3" s="36"/>
      <c r="L3" s="36"/>
      <c r="M3" s="36"/>
      <c r="N3" s="36"/>
      <c r="O3" s="40"/>
      <c r="P3" s="41"/>
      <c r="Q3" s="41"/>
      <c r="R3" s="41"/>
      <c r="S3" s="41"/>
      <c r="T3" s="41"/>
      <c r="U3" s="41"/>
      <c r="V3" s="41"/>
      <c r="W3" s="41"/>
      <c r="X3" s="41"/>
      <c r="Y3" s="41"/>
      <c r="Z3" s="41"/>
    </row>
    <row r="4" ht="12.0"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Sta.Mría'!$B21</f>
        <v>Disposición en Relleno Sanitario</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Sta.Mría'!F21</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Sta.Mría'!A21</f>
        <v>IN14</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57.75" customHeight="1">
      <c r="A11" s="80" t="str">
        <f>'SET SP Sta.Mría'!$C21</f>
        <v>Disponer la totalidad de los residuos solidos recolectados en el sitio de disposición final.</v>
      </c>
      <c r="B11" s="63"/>
      <c r="C11" s="63"/>
      <c r="D11" s="64"/>
      <c r="E11" s="81" t="s">
        <v>70</v>
      </c>
      <c r="F11" s="82" t="str">
        <f>'SET SP Sta.Mría'!$D21</f>
        <v>(Residuos sólidos en relleno sanitario / Residuos sólidos producidos)     x 100    %</v>
      </c>
      <c r="G11" s="64"/>
      <c r="H11" s="83">
        <f>$O18</f>
        <v>1</v>
      </c>
      <c r="I11" s="84" t="str">
        <f>'SET SP Sta.Mría'!$E21</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+'13'!A15:O15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0">
        <f t="shared" ref="C17:N17" si="1">$O$17</f>
        <v>0.98</v>
      </c>
      <c r="D17" s="100">
        <f t="shared" si="1"/>
        <v>0.98</v>
      </c>
      <c r="E17" s="100">
        <f t="shared" si="1"/>
        <v>0.98</v>
      </c>
      <c r="F17" s="100">
        <f t="shared" si="1"/>
        <v>0.98</v>
      </c>
      <c r="G17" s="100">
        <f t="shared" si="1"/>
        <v>0.98</v>
      </c>
      <c r="H17" s="100">
        <f t="shared" si="1"/>
        <v>0.98</v>
      </c>
      <c r="I17" s="100">
        <f t="shared" si="1"/>
        <v>0.98</v>
      </c>
      <c r="J17" s="100">
        <f t="shared" si="1"/>
        <v>0.98</v>
      </c>
      <c r="K17" s="100">
        <f t="shared" si="1"/>
        <v>0.98</v>
      </c>
      <c r="L17" s="100">
        <f t="shared" si="1"/>
        <v>0.98</v>
      </c>
      <c r="M17" s="100">
        <f t="shared" si="1"/>
        <v>0.98</v>
      </c>
      <c r="N17" s="100">
        <f t="shared" si="1"/>
        <v>0.98</v>
      </c>
      <c r="O17" s="165">
        <f>'SET SP Sta.Mría'!J21</f>
        <v>0.98</v>
      </c>
      <c r="P17" s="41"/>
      <c r="Q17" s="41"/>
      <c r="R17" s="41"/>
      <c r="S17" s="41"/>
      <c r="T17" s="41"/>
      <c r="U17" s="41"/>
      <c r="V17" s="92"/>
      <c r="W17" s="95"/>
      <c r="X17" s="95"/>
      <c r="Y17" s="41"/>
      <c r="Z17" s="41"/>
    </row>
    <row r="18" ht="17.25" customHeight="1">
      <c r="A18" s="99" t="str">
        <f>+'13'!A18:B18</f>
        <v>META  AÑO 2025</v>
      </c>
      <c r="B18" s="55"/>
      <c r="C18" s="100">
        <f t="shared" ref="C18:N18" si="2">$O$18</f>
        <v>1</v>
      </c>
      <c r="D18" s="100">
        <f t="shared" si="2"/>
        <v>1</v>
      </c>
      <c r="E18" s="100">
        <f t="shared" si="2"/>
        <v>1</v>
      </c>
      <c r="F18" s="100">
        <f t="shared" si="2"/>
        <v>1</v>
      </c>
      <c r="G18" s="100">
        <f t="shared" si="2"/>
        <v>1</v>
      </c>
      <c r="H18" s="100">
        <f t="shared" si="2"/>
        <v>1</v>
      </c>
      <c r="I18" s="100">
        <f t="shared" si="2"/>
        <v>1</v>
      </c>
      <c r="J18" s="100">
        <f t="shared" si="2"/>
        <v>1</v>
      </c>
      <c r="K18" s="100">
        <f t="shared" si="2"/>
        <v>1</v>
      </c>
      <c r="L18" s="100">
        <f t="shared" si="2"/>
        <v>1</v>
      </c>
      <c r="M18" s="100">
        <f t="shared" si="2"/>
        <v>1</v>
      </c>
      <c r="N18" s="100">
        <f t="shared" si="2"/>
        <v>1</v>
      </c>
      <c r="O18" s="165">
        <f>'SET SP Sta.Mría'!K21</f>
        <v>1</v>
      </c>
      <c r="P18" s="41"/>
      <c r="Q18" s="41"/>
      <c r="R18" s="41"/>
      <c r="S18" s="41"/>
      <c r="T18" s="41"/>
      <c r="U18" s="41"/>
      <c r="V18" s="92"/>
      <c r="W18" s="95"/>
      <c r="X18" s="95"/>
      <c r="Y18" s="41"/>
      <c r="Z18" s="41"/>
    </row>
    <row r="19" ht="17.25" customHeight="1">
      <c r="A19" s="106" t="s">
        <v>91</v>
      </c>
      <c r="B19" s="55"/>
      <c r="C19" s="107" t="str">
        <f t="shared" ref="C19:O19" si="3">IF(ISNUMBER(C21),C20/C21,"-")</f>
        <v>#DIV/0!</v>
      </c>
      <c r="D19" s="107" t="str">
        <f t="shared" si="3"/>
        <v>#DIV/0!</v>
      </c>
      <c r="E19" s="107" t="str">
        <f t="shared" si="3"/>
        <v>#DIV/0!</v>
      </c>
      <c r="F19" s="107" t="str">
        <f t="shared" si="3"/>
        <v>#DIV/0!</v>
      </c>
      <c r="G19" s="107" t="str">
        <f t="shared" si="3"/>
        <v>#DIV/0!</v>
      </c>
      <c r="H19" s="107" t="str">
        <f t="shared" si="3"/>
        <v>#DIV/0!</v>
      </c>
      <c r="I19" s="107" t="str">
        <f t="shared" si="3"/>
        <v>#DIV/0!</v>
      </c>
      <c r="J19" s="107" t="str">
        <f t="shared" si="3"/>
        <v>#DIV/0!</v>
      </c>
      <c r="K19" s="107" t="str">
        <f t="shared" si="3"/>
        <v>#DIV/0!</v>
      </c>
      <c r="L19" s="107" t="str">
        <f t="shared" si="3"/>
        <v>#DIV/0!</v>
      </c>
      <c r="M19" s="107" t="str">
        <f t="shared" si="3"/>
        <v>#DIV/0!</v>
      </c>
      <c r="N19" s="107" t="str">
        <f t="shared" si="3"/>
        <v>#DIV/0!</v>
      </c>
      <c r="O19" s="109" t="str">
        <f t="shared" si="3"/>
        <v>#DIV/0!</v>
      </c>
      <c r="P19" s="41"/>
      <c r="Q19" s="41"/>
      <c r="R19" s="41"/>
      <c r="S19" s="41"/>
      <c r="T19" s="41"/>
      <c r="U19" s="41"/>
      <c r="V19" s="92"/>
      <c r="W19" s="95"/>
      <c r="X19" s="95"/>
      <c r="Y19" s="41"/>
      <c r="Z19" s="41"/>
    </row>
    <row r="20" ht="15.0" customHeight="1">
      <c r="A20" s="110" t="s">
        <v>92</v>
      </c>
      <c r="B20" s="111" t="s">
        <v>324</v>
      </c>
      <c r="C20" s="118">
        <f t="shared" ref="C20:N20" si="4">+C21</f>
        <v>0</v>
      </c>
      <c r="D20" s="118">
        <f t="shared" si="4"/>
        <v>0</v>
      </c>
      <c r="E20" s="118">
        <f t="shared" si="4"/>
        <v>0</v>
      </c>
      <c r="F20" s="118">
        <f t="shared" si="4"/>
        <v>0</v>
      </c>
      <c r="G20" s="118">
        <f t="shared" si="4"/>
        <v>0</v>
      </c>
      <c r="H20" s="118">
        <f t="shared" si="4"/>
        <v>0</v>
      </c>
      <c r="I20" s="118">
        <f t="shared" si="4"/>
        <v>0</v>
      </c>
      <c r="J20" s="118">
        <f t="shared" si="4"/>
        <v>0</v>
      </c>
      <c r="K20" s="118">
        <f t="shared" si="4"/>
        <v>0</v>
      </c>
      <c r="L20" s="118">
        <f t="shared" si="4"/>
        <v>0</v>
      </c>
      <c r="M20" s="118">
        <f t="shared" si="4"/>
        <v>0</v>
      </c>
      <c r="N20" s="118">
        <f t="shared" si="4"/>
        <v>0</v>
      </c>
      <c r="O20" s="119">
        <f t="shared" ref="O20:O21" si="5">SUM(C20:N20)</f>
        <v>0</v>
      </c>
      <c r="P20" s="41"/>
      <c r="Q20" s="41"/>
      <c r="R20" s="41"/>
      <c r="S20" s="41"/>
      <c r="T20" s="41"/>
      <c r="U20" s="41"/>
      <c r="V20" s="92"/>
      <c r="W20" s="95"/>
      <c r="X20" s="95"/>
      <c r="Y20" s="41"/>
      <c r="Z20" s="41"/>
    </row>
    <row r="21" ht="12.75" customHeight="1">
      <c r="A21" s="115"/>
      <c r="B21" s="111" t="s">
        <v>259</v>
      </c>
      <c r="C21" s="118">
        <f>+'07'!C21</f>
        <v>0</v>
      </c>
      <c r="D21" s="118">
        <f>+'07'!D21</f>
        <v>0</v>
      </c>
      <c r="E21" s="118">
        <f>+'07'!E21</f>
        <v>0</v>
      </c>
      <c r="F21" s="118">
        <f>+'07'!F21</f>
        <v>0</v>
      </c>
      <c r="G21" s="118">
        <f>+'07'!G21</f>
        <v>0</v>
      </c>
      <c r="H21" s="118">
        <f>+'07'!H21</f>
        <v>0</v>
      </c>
      <c r="I21" s="118">
        <f>+'07'!I21</f>
        <v>0</v>
      </c>
      <c r="J21" s="118">
        <f>+'07'!J21</f>
        <v>0</v>
      </c>
      <c r="K21" s="118">
        <f>+'07'!K21</f>
        <v>0</v>
      </c>
      <c r="L21" s="118">
        <f>+'07'!L21</f>
        <v>0</v>
      </c>
      <c r="M21" s="118">
        <f>+'07'!M21</f>
        <v>0</v>
      </c>
      <c r="N21" s="118">
        <f>+'07'!N21</f>
        <v>0</v>
      </c>
      <c r="O21" s="119">
        <f t="shared" si="5"/>
        <v>0</v>
      </c>
      <c r="P21" s="41"/>
      <c r="Q21" s="41"/>
      <c r="R21" s="41"/>
      <c r="S21" s="41"/>
      <c r="T21" s="41"/>
      <c r="U21" s="41"/>
      <c r="V21" s="92"/>
      <c r="W21" s="95"/>
      <c r="X21" s="95"/>
      <c r="Y21" s="41"/>
      <c r="Z21" s="41"/>
    </row>
    <row r="22" ht="12.7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3.5"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Sta.Mría'!$G21</f>
        <v>Entre 91% y 100%</v>
      </c>
      <c r="E24" s="127"/>
      <c r="F24" s="127"/>
      <c r="G24" s="128"/>
      <c r="H24" s="126" t="str">
        <f>'SET SP Sta.Mría'!$H21</f>
        <v>Entre 71% y 90%</v>
      </c>
      <c r="I24" s="127"/>
      <c r="J24" s="127"/>
      <c r="K24" s="128"/>
      <c r="L24" s="126" t="str">
        <f>'SET SP Sta.Mría'!$I21</f>
        <v>Menor al 70%</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325</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7" t="s">
        <v>326</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7" t="s">
        <v>326</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7" t="s">
        <v>326</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7" t="s">
        <v>326</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7" t="s">
        <v>326</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7" t="s">
        <v>326</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7" t="s">
        <v>326</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7" t="s">
        <v>326</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7" t="s">
        <v>326</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7" t="s">
        <v>326</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7" t="s">
        <v>326</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7" t="s">
        <v>326</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78" t="s">
        <v>327</v>
      </c>
      <c r="B41" s="75"/>
      <c r="C41" s="75"/>
      <c r="D41" s="75"/>
      <c r="E41" s="75"/>
      <c r="F41" s="75"/>
      <c r="G41" s="75"/>
      <c r="H41" s="75"/>
      <c r="I41" s="75"/>
      <c r="J41" s="75"/>
      <c r="K41" s="75"/>
      <c r="L41" s="75"/>
      <c r="M41" s="76"/>
      <c r="N41" s="142" t="s">
        <v>127</v>
      </c>
      <c r="O41" s="52"/>
      <c r="P41" s="41"/>
      <c r="Q41" s="41"/>
      <c r="R41" s="41"/>
      <c r="S41" s="41"/>
      <c r="T41" s="41"/>
      <c r="U41" s="41"/>
      <c r="V41" s="41"/>
      <c r="W41" s="41"/>
      <c r="X41" s="41"/>
      <c r="Y41" s="41"/>
      <c r="Z41" s="41"/>
    </row>
    <row r="42" ht="12.75" customHeight="1">
      <c r="A42" s="147" t="s">
        <v>107</v>
      </c>
      <c r="B42" s="54"/>
      <c r="C42" s="54"/>
      <c r="D42" s="54"/>
      <c r="E42" s="54"/>
      <c r="F42" s="54"/>
      <c r="G42" s="54"/>
      <c r="H42" s="54"/>
      <c r="I42" s="54"/>
      <c r="J42" s="54"/>
      <c r="K42" s="54"/>
      <c r="L42" s="54"/>
      <c r="M42" s="55"/>
      <c r="N42" s="146" t="s">
        <v>107</v>
      </c>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5.25"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57">
        <v>0.98</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7">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1"/>
    <col customWidth="1" min="2" max="2" width="40.86"/>
    <col customWidth="1" min="3" max="3" width="9.86"/>
    <col customWidth="1" min="4" max="6" width="12.71"/>
    <col customWidth="1" min="7" max="7" width="11.29"/>
    <col customWidth="1" min="8" max="15" width="11.43"/>
    <col customWidth="1" min="16" max="16" width="14.86"/>
    <col customWidth="1" min="17" max="26" width="11.43"/>
  </cols>
  <sheetData>
    <row r="1" ht="12.75" customHeight="1">
      <c r="A1" s="183" t="s">
        <v>328</v>
      </c>
      <c r="P1" s="154"/>
      <c r="Q1" s="154"/>
      <c r="R1" s="154"/>
      <c r="S1" s="154"/>
      <c r="T1" s="154"/>
      <c r="U1" s="154"/>
      <c r="V1" s="154"/>
      <c r="W1" s="154"/>
      <c r="X1" s="154"/>
      <c r="Y1" s="154"/>
      <c r="Z1" s="154"/>
    </row>
    <row r="2" ht="12.75" customHeight="1">
      <c r="A2" s="184" t="s">
        <v>329</v>
      </c>
      <c r="C2" s="184"/>
      <c r="E2" s="184" t="s">
        <v>330</v>
      </c>
      <c r="G2" s="185" t="s">
        <v>0</v>
      </c>
      <c r="P2" s="154"/>
      <c r="Q2" s="154"/>
      <c r="R2" s="154"/>
      <c r="S2" s="154"/>
      <c r="T2" s="154"/>
      <c r="U2" s="154"/>
      <c r="V2" s="154"/>
      <c r="W2" s="154"/>
      <c r="X2" s="154"/>
      <c r="Y2" s="154"/>
      <c r="Z2" s="154"/>
    </row>
    <row r="3" ht="12.75" customHeight="1">
      <c r="A3" s="186"/>
      <c r="B3" s="187"/>
      <c r="C3" s="187"/>
      <c r="D3" s="154"/>
      <c r="E3" s="154"/>
      <c r="F3" s="154"/>
      <c r="G3" s="154"/>
      <c r="H3" s="154"/>
      <c r="I3" s="154"/>
      <c r="J3" s="154"/>
      <c r="K3" s="154"/>
      <c r="L3" s="154"/>
      <c r="M3" s="154"/>
      <c r="N3" s="154"/>
      <c r="O3" s="154"/>
      <c r="P3" s="154"/>
      <c r="Q3" s="154"/>
      <c r="R3" s="154"/>
      <c r="S3" s="154"/>
      <c r="T3" s="154"/>
      <c r="U3" s="154"/>
      <c r="V3" s="154"/>
      <c r="W3" s="154"/>
      <c r="X3" s="154"/>
      <c r="Y3" s="154"/>
      <c r="Z3" s="154"/>
    </row>
    <row r="4" ht="25.5" customHeight="1">
      <c r="A4" s="188" t="s">
        <v>331</v>
      </c>
      <c r="B4" s="55"/>
      <c r="C4" s="189" t="s">
        <v>332</v>
      </c>
      <c r="D4" s="190">
        <v>45658.0</v>
      </c>
      <c r="E4" s="190">
        <v>45689.0</v>
      </c>
      <c r="F4" s="190">
        <v>45717.0</v>
      </c>
      <c r="G4" s="190">
        <v>45748.0</v>
      </c>
      <c r="H4" s="190">
        <v>45778.0</v>
      </c>
      <c r="I4" s="190">
        <v>45809.0</v>
      </c>
      <c r="J4" s="190">
        <v>45839.0</v>
      </c>
      <c r="K4" s="190">
        <v>45870.0</v>
      </c>
      <c r="L4" s="190">
        <v>45901.0</v>
      </c>
      <c r="M4" s="190">
        <v>45931.0</v>
      </c>
      <c r="N4" s="190">
        <v>45962.0</v>
      </c>
      <c r="O4" s="190">
        <v>45992.0</v>
      </c>
      <c r="P4" s="191"/>
      <c r="Q4" s="191"/>
      <c r="R4" s="154"/>
      <c r="S4" s="154"/>
      <c r="T4" s="154"/>
      <c r="U4" s="154"/>
      <c r="V4" s="154"/>
      <c r="W4" s="154"/>
      <c r="X4" s="154"/>
      <c r="Y4" s="154"/>
      <c r="Z4" s="154"/>
    </row>
    <row r="5" ht="12.75" customHeight="1">
      <c r="A5" s="192">
        <v>1.0</v>
      </c>
      <c r="B5" s="193" t="s">
        <v>333</v>
      </c>
      <c r="C5" s="192" t="s">
        <v>333</v>
      </c>
      <c r="D5" s="194">
        <v>1220.0</v>
      </c>
      <c r="E5" s="194">
        <v>1220.0</v>
      </c>
      <c r="F5" s="194">
        <v>1220.0</v>
      </c>
      <c r="G5" s="194">
        <v>1250.0</v>
      </c>
      <c r="H5" s="194">
        <v>1250.0</v>
      </c>
      <c r="I5" s="194">
        <v>1250.0</v>
      </c>
      <c r="J5" s="194">
        <v>1269.0</v>
      </c>
      <c r="K5" s="194">
        <v>1260.0</v>
      </c>
      <c r="L5" s="194">
        <v>1260.0</v>
      </c>
      <c r="M5" s="194">
        <v>1290.0</v>
      </c>
      <c r="N5" s="194">
        <v>1260.0</v>
      </c>
      <c r="O5" s="194">
        <v>1271.0</v>
      </c>
      <c r="P5" s="191"/>
      <c r="Q5" s="195"/>
      <c r="R5" s="196"/>
      <c r="S5" s="154"/>
      <c r="T5" s="154"/>
      <c r="U5" s="154"/>
      <c r="V5" s="154"/>
      <c r="W5" s="154"/>
      <c r="X5" s="154"/>
      <c r="Y5" s="154"/>
      <c r="Z5" s="154"/>
    </row>
    <row r="6" ht="12.75" customHeight="1">
      <c r="A6" s="197">
        <v>2.0</v>
      </c>
      <c r="B6" s="198" t="s">
        <v>334</v>
      </c>
      <c r="C6" s="197" t="s">
        <v>335</v>
      </c>
      <c r="D6" s="199">
        <v>1213.0</v>
      </c>
      <c r="E6" s="199">
        <v>1210.0</v>
      </c>
      <c r="F6" s="199">
        <v>1209.0</v>
      </c>
      <c r="G6" s="199">
        <v>1238.0</v>
      </c>
      <c r="H6" s="199">
        <v>1226.0</v>
      </c>
      <c r="I6" s="199">
        <v>1244.0</v>
      </c>
      <c r="J6" s="199">
        <v>1269.0</v>
      </c>
      <c r="K6" s="199">
        <v>1256.0</v>
      </c>
      <c r="L6" s="199">
        <v>1256.0</v>
      </c>
      <c r="M6" s="199">
        <v>1290.0</v>
      </c>
      <c r="N6" s="199">
        <v>1255.0</v>
      </c>
      <c r="O6" s="199">
        <v>1270.0</v>
      </c>
      <c r="P6" s="195"/>
      <c r="Q6" s="200"/>
      <c r="R6" s="195"/>
      <c r="S6" s="196"/>
      <c r="T6" s="196"/>
      <c r="U6" s="196"/>
      <c r="V6" s="196"/>
      <c r="W6" s="196"/>
      <c r="X6" s="196"/>
      <c r="Y6" s="196"/>
      <c r="Z6" s="196"/>
    </row>
    <row r="7" ht="12.75" customHeight="1">
      <c r="A7" s="192">
        <v>3.0</v>
      </c>
      <c r="B7" s="193" t="s">
        <v>336</v>
      </c>
      <c r="C7" s="192" t="s">
        <v>335</v>
      </c>
      <c r="D7" s="194">
        <v>1123.0</v>
      </c>
      <c r="E7" s="194">
        <v>1122.0</v>
      </c>
      <c r="F7" s="199">
        <v>1121.0</v>
      </c>
      <c r="G7" s="194">
        <v>1145.0</v>
      </c>
      <c r="H7" s="194">
        <v>1133.0</v>
      </c>
      <c r="I7" s="194">
        <v>11151.0</v>
      </c>
      <c r="J7" s="194">
        <v>1173.0</v>
      </c>
      <c r="K7" s="194">
        <v>1163.0</v>
      </c>
      <c r="L7" s="194">
        <v>1160.0</v>
      </c>
      <c r="M7" s="194">
        <v>1188.0</v>
      </c>
      <c r="N7" s="194">
        <v>1156.0</v>
      </c>
      <c r="O7" s="194">
        <v>1173.0</v>
      </c>
      <c r="P7" s="191"/>
      <c r="Q7" s="200"/>
      <c r="R7" s="196"/>
      <c r="S7" s="154"/>
      <c r="T7" s="154"/>
      <c r="U7" s="154"/>
      <c r="V7" s="154"/>
      <c r="W7" s="154"/>
      <c r="X7" s="154"/>
      <c r="Y7" s="154"/>
      <c r="Z7" s="154"/>
    </row>
    <row r="8" ht="12.75" customHeight="1">
      <c r="A8" s="197">
        <v>4.0</v>
      </c>
      <c r="B8" s="198" t="s">
        <v>337</v>
      </c>
      <c r="C8" s="197" t="s">
        <v>335</v>
      </c>
      <c r="D8" s="199">
        <v>1157.0</v>
      </c>
      <c r="E8" s="199">
        <v>1158.0</v>
      </c>
      <c r="F8" s="199">
        <v>1160.0</v>
      </c>
      <c r="G8" s="199">
        <v>1170.0</v>
      </c>
      <c r="H8" s="199">
        <v>1176.0</v>
      </c>
      <c r="I8" s="199">
        <v>1177.0</v>
      </c>
      <c r="J8" s="199">
        <v>1182.0</v>
      </c>
      <c r="K8" s="199">
        <v>1185.0</v>
      </c>
      <c r="L8" s="199">
        <v>1188.0</v>
      </c>
      <c r="M8" s="199">
        <v>1192.0</v>
      </c>
      <c r="N8" s="199">
        <v>1194.0</v>
      </c>
      <c r="O8" s="199">
        <v>1204.0</v>
      </c>
      <c r="P8" s="154"/>
      <c r="Q8" s="200"/>
      <c r="R8" s="196"/>
      <c r="S8" s="154"/>
      <c r="T8" s="154"/>
      <c r="U8" s="154"/>
      <c r="V8" s="154"/>
      <c r="W8" s="154"/>
      <c r="X8" s="154"/>
      <c r="Y8" s="154"/>
      <c r="Z8" s="154"/>
    </row>
    <row r="9" ht="12.75" customHeight="1">
      <c r="A9" s="192">
        <v>5.0</v>
      </c>
      <c r="B9" s="193" t="s">
        <v>338</v>
      </c>
      <c r="C9" s="192" t="s">
        <v>339</v>
      </c>
      <c r="D9" s="194">
        <v>18587.0</v>
      </c>
      <c r="E9" s="194">
        <v>14823.0</v>
      </c>
      <c r="F9" s="194">
        <v>16467.0</v>
      </c>
      <c r="G9" s="201">
        <v>18355.0</v>
      </c>
      <c r="H9" s="202">
        <v>19138.0</v>
      </c>
      <c r="I9" s="203">
        <v>20354.0</v>
      </c>
      <c r="J9" s="203">
        <v>17216.0</v>
      </c>
      <c r="K9" s="203">
        <v>16145.0</v>
      </c>
      <c r="L9" s="203">
        <v>16916.0</v>
      </c>
      <c r="M9" s="203">
        <v>17270.0</v>
      </c>
      <c r="N9" s="204">
        <v>16516.0</v>
      </c>
      <c r="O9" s="194">
        <v>16931.0</v>
      </c>
      <c r="P9" s="191">
        <f t="shared" ref="P9:P11" si="1">SUM(D9:O9)</f>
        <v>208718</v>
      </c>
      <c r="Q9" s="195"/>
      <c r="R9" s="196"/>
      <c r="S9" s="154"/>
      <c r="T9" s="154"/>
      <c r="U9" s="154"/>
      <c r="V9" s="154"/>
      <c r="W9" s="154"/>
      <c r="X9" s="154"/>
      <c r="Y9" s="154"/>
      <c r="Z9" s="154"/>
    </row>
    <row r="10" ht="12.75" customHeight="1">
      <c r="A10" s="197">
        <v>6.0</v>
      </c>
      <c r="B10" s="198" t="s">
        <v>340</v>
      </c>
      <c r="C10" s="197" t="s">
        <v>339</v>
      </c>
      <c r="D10" s="199">
        <f>15611+1209</f>
        <v>16820</v>
      </c>
      <c r="E10" s="199">
        <f>11434+877</f>
        <v>12311</v>
      </c>
      <c r="F10" s="199">
        <f>11831+866</f>
        <v>12697</v>
      </c>
      <c r="G10" s="199">
        <f>13346+1169</f>
        <v>14515</v>
      </c>
      <c r="H10" s="199">
        <f>12378+1093</f>
        <v>13471</v>
      </c>
      <c r="I10" s="199">
        <f>11770+679</f>
        <v>12449</v>
      </c>
      <c r="J10" s="199">
        <f>14607+1468</f>
        <v>16075</v>
      </c>
      <c r="K10" s="199">
        <f>13565+0</f>
        <v>13565</v>
      </c>
      <c r="L10" s="199">
        <f>14383+213</f>
        <v>14596</v>
      </c>
      <c r="M10" s="199">
        <f>11035+301</f>
        <v>11336</v>
      </c>
      <c r="N10" s="199">
        <f>13164+653</f>
        <v>13817</v>
      </c>
      <c r="O10" s="199">
        <f>367+11900</f>
        <v>12267</v>
      </c>
      <c r="P10" s="191">
        <f t="shared" si="1"/>
        <v>163919</v>
      </c>
      <c r="Q10" s="154"/>
      <c r="R10" s="154"/>
      <c r="S10" s="154"/>
      <c r="T10" s="154"/>
      <c r="U10" s="154"/>
      <c r="V10" s="154"/>
      <c r="W10" s="154"/>
      <c r="X10" s="154"/>
      <c r="Y10" s="154"/>
      <c r="Z10" s="154"/>
    </row>
    <row r="11" ht="12.75" customHeight="1">
      <c r="A11" s="192">
        <v>7.0</v>
      </c>
      <c r="B11" s="193" t="s">
        <v>341</v>
      </c>
      <c r="C11" s="192" t="s">
        <v>342</v>
      </c>
      <c r="D11" s="194">
        <f>9469+3635+2123</f>
        <v>15227</v>
      </c>
      <c r="E11" s="194">
        <f>8345+2031+974</f>
        <v>11350</v>
      </c>
      <c r="F11" s="194">
        <f>8200+1965+1568</f>
        <v>11733</v>
      </c>
      <c r="G11" s="194">
        <f>9129+2773+1459</f>
        <v>13361</v>
      </c>
      <c r="H11" s="194">
        <f>8532+2083+1862</f>
        <v>12477</v>
      </c>
      <c r="I11" s="194">
        <f>8203+2018+1277</f>
        <v>11498</v>
      </c>
      <c r="J11" s="194">
        <f>9247+2996+2397</f>
        <v>14640</v>
      </c>
      <c r="K11" s="194">
        <f>1220+2342+8750</f>
        <v>12312</v>
      </c>
      <c r="L11" s="194">
        <f>9063+2783+1413</f>
        <v>13259</v>
      </c>
      <c r="M11" s="194">
        <f>7867+1605+799</f>
        <v>10271</v>
      </c>
      <c r="N11" s="194">
        <f>8815+2462+1353</f>
        <v>12630</v>
      </c>
      <c r="O11" s="194">
        <f>8265+1916+1019</f>
        <v>11200</v>
      </c>
      <c r="P11" s="191">
        <f t="shared" si="1"/>
        <v>149958</v>
      </c>
      <c r="Q11" s="205"/>
      <c r="R11" s="154"/>
      <c r="S11" s="154"/>
      <c r="T11" s="154"/>
      <c r="U11" s="154"/>
      <c r="V11" s="154"/>
      <c r="W11" s="154"/>
      <c r="X11" s="154"/>
      <c r="Y11" s="154"/>
      <c r="Z11" s="154"/>
    </row>
    <row r="12" ht="12.75" hidden="1" customHeight="1">
      <c r="A12" s="197">
        <v>8.0</v>
      </c>
      <c r="B12" s="198" t="s">
        <v>343</v>
      </c>
      <c r="C12" s="197" t="s">
        <v>342</v>
      </c>
      <c r="D12" s="199"/>
      <c r="E12" s="199"/>
      <c r="F12" s="199"/>
      <c r="G12" s="199"/>
      <c r="H12" s="199"/>
      <c r="I12" s="199"/>
      <c r="J12" s="199"/>
      <c r="K12" s="199"/>
      <c r="L12" s="199"/>
      <c r="M12" s="199"/>
      <c r="N12" s="199"/>
      <c r="O12" s="199"/>
      <c r="P12" s="191"/>
      <c r="Q12" s="154"/>
      <c r="R12" s="154"/>
      <c r="S12" s="154"/>
      <c r="T12" s="154"/>
      <c r="U12" s="154"/>
      <c r="V12" s="154"/>
      <c r="W12" s="154"/>
      <c r="X12" s="154"/>
      <c r="Y12" s="154"/>
      <c r="Z12" s="154"/>
    </row>
    <row r="13" ht="12.75" hidden="1" customHeight="1">
      <c r="A13" s="192">
        <v>9.0</v>
      </c>
      <c r="B13" s="193" t="s">
        <v>344</v>
      </c>
      <c r="C13" s="192" t="s">
        <v>342</v>
      </c>
      <c r="D13" s="194"/>
      <c r="E13" s="194"/>
      <c r="F13" s="194"/>
      <c r="G13" s="194"/>
      <c r="H13" s="194"/>
      <c r="I13" s="194"/>
      <c r="J13" s="194"/>
      <c r="K13" s="194"/>
      <c r="L13" s="194"/>
      <c r="M13" s="194"/>
      <c r="N13" s="194"/>
      <c r="O13" s="194"/>
      <c r="P13" s="191"/>
      <c r="Q13" s="154"/>
      <c r="R13" s="154"/>
      <c r="S13" s="154"/>
      <c r="T13" s="154"/>
      <c r="U13" s="154"/>
      <c r="V13" s="154"/>
      <c r="W13" s="154"/>
      <c r="X13" s="154"/>
      <c r="Y13" s="154"/>
      <c r="Z13" s="154"/>
    </row>
    <row r="14" ht="12.75" customHeight="1">
      <c r="A14" s="197">
        <v>10.0</v>
      </c>
      <c r="B14" s="198" t="s">
        <v>345</v>
      </c>
      <c r="C14" s="197" t="s">
        <v>342</v>
      </c>
      <c r="D14" s="199">
        <f>4440107+12524772+98933+24650+267</f>
        <v>17088729</v>
      </c>
      <c r="E14" s="199">
        <f>4443150+8536012+128312+123350+17082+34164+1596</f>
        <v>13283666</v>
      </c>
      <c r="F14" s="199">
        <f>4449844+8990412+155039+172700+31317+1776</f>
        <v>13801088</v>
      </c>
      <c r="G14" s="199">
        <f>4486967+10420750+136908+357701+16333-723</f>
        <v>15417936</v>
      </c>
      <c r="H14" s="199">
        <f>4506441+9642144+12399+530335+16333-93</f>
        <v>14707559</v>
      </c>
      <c r="I14" s="199">
        <f>4509484+8796869+159934+123335+16333+326</f>
        <v>13606281</v>
      </c>
      <c r="J14" s="199">
        <f>4526523+11881587+133751+419334-408150-642</f>
        <v>16552403</v>
      </c>
      <c r="K14" s="199">
        <f>4950552+10489924+133198+222000-2331</f>
        <v>15793343</v>
      </c>
      <c r="L14" s="199">
        <f>4957192+11465895+132627+197400+59787-30000-1931</f>
        <v>16780970</v>
      </c>
      <c r="M14" s="199">
        <f>4971136+8486938+146531+271400+34160-2468</f>
        <v>13907697</v>
      </c>
      <c r="N14" s="199">
        <f>4978440+10779021+169953+98800+17080+39858-2340</f>
        <v>16080812</v>
      </c>
      <c r="O14" s="199">
        <f>5015624+9331632+156237+591800-2242</f>
        <v>15093051</v>
      </c>
      <c r="P14" s="205">
        <f t="shared" ref="P14:P19" si="2">SUM(D14:O14)</f>
        <v>182113535</v>
      </c>
      <c r="Q14" s="154"/>
      <c r="R14" s="154"/>
      <c r="S14" s="154"/>
      <c r="T14" s="154"/>
      <c r="U14" s="154"/>
      <c r="V14" s="154"/>
      <c r="W14" s="154"/>
      <c r="X14" s="154"/>
      <c r="Y14" s="154"/>
      <c r="Z14" s="154"/>
    </row>
    <row r="15" ht="12.75" customHeight="1">
      <c r="A15" s="192">
        <v>11.0</v>
      </c>
      <c r="B15" s="193" t="s">
        <v>346</v>
      </c>
      <c r="C15" s="192" t="s">
        <v>342</v>
      </c>
      <c r="D15" s="194">
        <f>1150+3778025+10592712+80497+24650+219</f>
        <v>14477253</v>
      </c>
      <c r="E15" s="194">
        <f>3644457+7061117+102705+123350+994</f>
        <v>10932623</v>
      </c>
      <c r="F15" s="194">
        <f>3676103+7637983+129900+172700+1673</f>
        <v>11618359</v>
      </c>
      <c r="G15" s="194">
        <f>3790875+8808639+119206+357701+16333-640</f>
        <v>13092114</v>
      </c>
      <c r="H15" s="194">
        <f>2950+3649424+7735730+12715+505668+16333-390</f>
        <v>11922430</v>
      </c>
      <c r="I15" s="194">
        <f>1960000+6337796+13842812+230343+444001+516</f>
        <v>22815468</v>
      </c>
      <c r="J15" s="194">
        <f>1960000+3736957+9743985+111549+419334-762</f>
        <v>15971063</v>
      </c>
      <c r="K15" s="194">
        <f>1000200+4257084+9094750+117937+222000-1989</f>
        <v>14689982</v>
      </c>
      <c r="L15" s="194">
        <f>1005000+4229108+9676003+113045+172700+59787-1543</f>
        <v>15254100</v>
      </c>
      <c r="M15" s="194">
        <f>37650+3983747+6578658+122537+172700-2386</f>
        <v>10892906</v>
      </c>
      <c r="N15" s="194">
        <f>6100+4020604+8854819+159079+74100+17080+19929-1973</f>
        <v>13149738</v>
      </c>
      <c r="O15" s="194">
        <f>4186602+7758365+140711+542600-2151</f>
        <v>12626127</v>
      </c>
      <c r="P15" s="205">
        <f t="shared" si="2"/>
        <v>167442163</v>
      </c>
      <c r="Q15" s="154"/>
      <c r="R15" s="154"/>
      <c r="S15" s="154"/>
      <c r="T15" s="154"/>
      <c r="U15" s="154"/>
      <c r="V15" s="154"/>
      <c r="W15" s="154"/>
      <c r="X15" s="154"/>
      <c r="Y15" s="154"/>
      <c r="Z15" s="154"/>
    </row>
    <row r="16" ht="12.75" customHeight="1">
      <c r="A16" s="197">
        <v>12.0</v>
      </c>
      <c r="B16" s="198" t="s">
        <v>347</v>
      </c>
      <c r="C16" s="197" t="s">
        <v>342</v>
      </c>
      <c r="D16" s="199">
        <f>2781273+7493199+16350</f>
        <v>10290822</v>
      </c>
      <c r="E16" s="199">
        <f>2781273+5227496+32750</f>
        <v>8041519</v>
      </c>
      <c r="F16" s="199">
        <f>2785767+5526514+114400</f>
        <v>8426681</v>
      </c>
      <c r="G16" s="199">
        <f>2804561+6368556+98066</f>
        <v>9271183</v>
      </c>
      <c r="H16" s="199">
        <f>2813549+5935229+212332</f>
        <v>8961110</v>
      </c>
      <c r="I16" s="199">
        <f>2815592+5395455+65332</f>
        <v>8276379</v>
      </c>
      <c r="J16" s="199">
        <f>2827031+7174699+277666</f>
        <v>10279396</v>
      </c>
      <c r="K16" s="199">
        <f>3092707+6314642+147000</f>
        <v>9554349</v>
      </c>
      <c r="L16" s="199">
        <f>3092707+6917044+32666</f>
        <v>10042417</v>
      </c>
      <c r="M16" s="199">
        <f>3097611+5095895+81666</f>
        <v>8275172</v>
      </c>
      <c r="N16" s="199">
        <f>3102515+6561478+65466</f>
        <v>9729459</v>
      </c>
      <c r="O16" s="199">
        <f>3127481+5668517+392000</f>
        <v>9187998</v>
      </c>
      <c r="P16" s="205">
        <f t="shared" si="2"/>
        <v>110336485</v>
      </c>
      <c r="Q16" s="191"/>
      <c r="R16" s="191"/>
      <c r="S16" s="191"/>
      <c r="T16" s="191"/>
      <c r="U16" s="191"/>
      <c r="V16" s="154"/>
      <c r="W16" s="154"/>
      <c r="X16" s="154"/>
      <c r="Y16" s="154"/>
      <c r="Z16" s="154"/>
    </row>
    <row r="17" ht="12.75" customHeight="1">
      <c r="A17" s="192">
        <v>13.0</v>
      </c>
      <c r="B17" s="193" t="s">
        <v>348</v>
      </c>
      <c r="C17" s="192" t="s">
        <v>342</v>
      </c>
      <c r="D17" s="194">
        <f>2371923+6405339+16350</f>
        <v>8793612</v>
      </c>
      <c r="E17" s="194">
        <f>2279996+4331579+32750</f>
        <v>6644325</v>
      </c>
      <c r="F17" s="194">
        <f>2307990+4706952+114400</f>
        <v>7129342</v>
      </c>
      <c r="G17" s="194">
        <f>2379282+5433745+98066</f>
        <v>7911093</v>
      </c>
      <c r="H17" s="194">
        <f>2278368+4715988+195999</f>
        <v>7190355</v>
      </c>
      <c r="I17" s="194">
        <f>3950486+8355208+293999</f>
        <v>12599693</v>
      </c>
      <c r="J17" s="194">
        <f>2339450+5844978+277666</f>
        <v>8462094</v>
      </c>
      <c r="K17" s="194">
        <f>2648052+5402751+147000</f>
        <v>8197803</v>
      </c>
      <c r="L17" s="194">
        <f>2639972+5866147+16333</f>
        <v>8522452</v>
      </c>
      <c r="M17" s="194">
        <f>2497078+4036113+16333</f>
        <v>6549524</v>
      </c>
      <c r="N17" s="194">
        <f>2503993+5354664+49133</f>
        <v>7907790</v>
      </c>
      <c r="O17" s="194">
        <f>2618568+4687417+359400</f>
        <v>7665385</v>
      </c>
      <c r="P17" s="205">
        <f t="shared" si="2"/>
        <v>97573468</v>
      </c>
      <c r="Q17" s="154"/>
      <c r="R17" s="154"/>
      <c r="S17" s="154"/>
      <c r="T17" s="154"/>
      <c r="U17" s="154"/>
      <c r="V17" s="154"/>
      <c r="W17" s="154"/>
      <c r="X17" s="154"/>
      <c r="Y17" s="154"/>
      <c r="Z17" s="154"/>
    </row>
    <row r="18" ht="12.75" customHeight="1">
      <c r="A18" s="197">
        <v>14.0</v>
      </c>
      <c r="B18" s="198" t="s">
        <v>349</v>
      </c>
      <c r="C18" s="197" t="s">
        <v>342</v>
      </c>
      <c r="D18" s="199">
        <v>1.1782615E7</v>
      </c>
      <c r="E18" s="199">
        <v>1.1790815E7</v>
      </c>
      <c r="F18" s="199">
        <v>1.1815881E7</v>
      </c>
      <c r="G18" s="199">
        <v>1.2970181E7</v>
      </c>
      <c r="H18" s="199">
        <v>1.3027447E7</v>
      </c>
      <c r="I18" s="199">
        <v>1.3036124E7</v>
      </c>
      <c r="J18" s="199">
        <f>13085960+1960000</f>
        <v>15045960</v>
      </c>
      <c r="K18" s="199">
        <f>13116382+980000</f>
        <v>14096382</v>
      </c>
      <c r="L18" s="199">
        <f>13143226+980000</f>
        <v>14123226</v>
      </c>
      <c r="M18" s="199">
        <v>1.3181078E7</v>
      </c>
      <c r="N18" s="199">
        <v>1.3170599E7</v>
      </c>
      <c r="O18" s="199">
        <v>1.3295114E7</v>
      </c>
      <c r="P18" s="205">
        <f t="shared" si="2"/>
        <v>157335422</v>
      </c>
      <c r="Q18" s="154"/>
      <c r="R18" s="154"/>
      <c r="S18" s="154"/>
      <c r="T18" s="154"/>
      <c r="U18" s="154"/>
      <c r="V18" s="154"/>
      <c r="W18" s="154"/>
      <c r="X18" s="154"/>
      <c r="Y18" s="154"/>
      <c r="Z18" s="154"/>
    </row>
    <row r="19" ht="12.75" customHeight="1">
      <c r="A19" s="192">
        <v>15.0</v>
      </c>
      <c r="B19" s="193" t="s">
        <v>350</v>
      </c>
      <c r="C19" s="192" t="s">
        <v>342</v>
      </c>
      <c r="D19" s="194">
        <v>1.0234193E7</v>
      </c>
      <c r="E19" s="194">
        <v>9760540.0</v>
      </c>
      <c r="F19" s="194">
        <v>9927103.0</v>
      </c>
      <c r="G19" s="194">
        <v>1.1113893E7</v>
      </c>
      <c r="H19" s="194">
        <v>1.0715738E7</v>
      </c>
      <c r="I19" s="194">
        <v>1.8615322E7</v>
      </c>
      <c r="J19" s="194">
        <v>1.091821E7</v>
      </c>
      <c r="K19" s="194">
        <v>1.1440956E7</v>
      </c>
      <c r="L19" s="194">
        <v>1.1253865E7</v>
      </c>
      <c r="M19" s="194">
        <v>1.0675995E7</v>
      </c>
      <c r="N19" s="194">
        <v>1.0860847E7</v>
      </c>
      <c r="O19" s="194">
        <v>1.1078752E7</v>
      </c>
      <c r="P19" s="205">
        <f t="shared" si="2"/>
        <v>136595414</v>
      </c>
      <c r="Q19" s="154"/>
      <c r="R19" s="154"/>
      <c r="S19" s="154"/>
      <c r="T19" s="154"/>
      <c r="U19" s="154"/>
      <c r="V19" s="154"/>
      <c r="W19" s="154"/>
      <c r="X19" s="154"/>
      <c r="Y19" s="154"/>
      <c r="Z19" s="154"/>
    </row>
    <row r="20" ht="12.75" customHeight="1">
      <c r="A20" s="197">
        <v>16.0</v>
      </c>
      <c r="B20" s="198" t="s">
        <v>351</v>
      </c>
      <c r="C20" s="197" t="s">
        <v>342</v>
      </c>
      <c r="D20" s="199">
        <f>658737+1261722+30339+54600+31200-78000+507</f>
        <v>1959105</v>
      </c>
      <c r="E20" s="199">
        <f>753969+2068290+30234+36400+31200-1150+337</f>
        <v>2919280</v>
      </c>
      <c r="F20" s="199">
        <f>1025063+2107030+40146+17082+18200+34164+774</f>
        <v>3242459</v>
      </c>
      <c r="G20" s="199">
        <f>941086+1791457+57361+31317+18200-24750+406</f>
        <v>2815077</v>
      </c>
      <c r="H20" s="199">
        <f>770573+1728202+15012+31317-86750+30</f>
        <v>2458384</v>
      </c>
      <c r="I20" s="199">
        <f>1012348+2161502+9632+24667-85800+514</f>
        <v>3122863</v>
      </c>
      <c r="J20" s="199">
        <f t="shared" ref="J20:J21" si="3">614755+1335894+11906+74001+16333-45750</f>
        <v>2007139</v>
      </c>
      <c r="K20" s="199">
        <f>858851+1845751+25254-95750+454</f>
        <v>2634560</v>
      </c>
      <c r="L20" s="199">
        <f>872227+1839516+23256-59650-220</f>
        <v>2675129</v>
      </c>
      <c r="M20" s="199">
        <f>915158+2173220+27599+24700-45200-30000-255</f>
        <v>3065222</v>
      </c>
      <c r="N20" s="199">
        <f>1163343+2264253+27199+98700+34160-107250+104</f>
        <v>3480509</v>
      </c>
      <c r="O20" s="199">
        <f>1120182+2029354+26963+24700+17080+19929-117650-185</f>
        <v>3120373</v>
      </c>
      <c r="P20" s="154"/>
      <c r="Q20" s="154"/>
      <c r="R20" s="154"/>
      <c r="S20" s="154"/>
      <c r="T20" s="154"/>
      <c r="U20" s="154"/>
      <c r="V20" s="154"/>
      <c r="W20" s="154"/>
      <c r="X20" s="154"/>
      <c r="Y20" s="154"/>
      <c r="Z20" s="154"/>
    </row>
    <row r="21" ht="12.75" customHeight="1">
      <c r="A21" s="192">
        <v>17.0</v>
      </c>
      <c r="B21" s="193" t="s">
        <v>352</v>
      </c>
      <c r="C21" s="192" t="s">
        <v>342</v>
      </c>
      <c r="D21" s="194">
        <f>535511+1018325+18100+18200-39750+476</f>
        <v>1550862</v>
      </c>
      <c r="E21" s="194">
        <f>594840+1600253+15627+18200+31200-1150+298</f>
        <v>2259268</v>
      </c>
      <c r="F21" s="194">
        <f>864741+1697121+15219+17082+34164+643</f>
        <v>2628970</v>
      </c>
      <c r="G21" s="194">
        <f>812994+1586375+57216+18200-23800+430</f>
        <v>2451415</v>
      </c>
      <c r="H21" s="194">
        <f>560331+1343759+6264+31317-47</f>
        <v>1941624</v>
      </c>
      <c r="I21" s="194">
        <f>1390342+3032572+21837+98668+16333-104900+521</f>
        <v>4455373</v>
      </c>
      <c r="J21" s="194">
        <f t="shared" si="3"/>
        <v>2007139</v>
      </c>
      <c r="K21" s="194">
        <f>745423+1601737+27073-56300+365</f>
        <v>2318298</v>
      </c>
      <c r="L21" s="194">
        <f>718738+1542386+18170-39450-270</f>
        <v>2239574</v>
      </c>
      <c r="M21" s="194">
        <f>708657+1801440+21718+24700-20200-30000-263</f>
        <v>2506052</v>
      </c>
      <c r="N21" s="194">
        <f>1006025+2128346+24030+98700+17079-29200+218</f>
        <v>3245198</v>
      </c>
      <c r="O21" s="194">
        <f>943520+1842208+20173+24700+17080+19929-53100-108</f>
        <v>2814402</v>
      </c>
      <c r="P21" s="191"/>
      <c r="Q21" s="191"/>
      <c r="R21" s="154"/>
      <c r="S21" s="154"/>
      <c r="T21" s="154"/>
      <c r="U21" s="154"/>
      <c r="V21" s="154"/>
      <c r="W21" s="154"/>
      <c r="X21" s="154"/>
      <c r="Y21" s="154"/>
      <c r="Z21" s="154"/>
    </row>
    <row r="22" ht="12.75" customHeight="1">
      <c r="A22" s="197">
        <v>18.0</v>
      </c>
      <c r="B22" s="198" t="s">
        <v>353</v>
      </c>
      <c r="C22" s="197" t="s">
        <v>342</v>
      </c>
      <c r="D22" s="199">
        <f>414868+816840</f>
        <v>1231708</v>
      </c>
      <c r="E22" s="199">
        <f>469382+1189572</f>
        <v>1658954</v>
      </c>
      <c r="F22" s="199">
        <f>642219+1268779</f>
        <v>1910998</v>
      </c>
      <c r="G22" s="199">
        <f>581952+1073565</f>
        <v>1655517</v>
      </c>
      <c r="H22" s="199">
        <f>467132+1016831</f>
        <v>1483963</v>
      </c>
      <c r="I22" s="199">
        <f>622788+1364659+16333</f>
        <v>2003780</v>
      </c>
      <c r="J22" s="199">
        <f t="shared" ref="J22:J23" si="4">391787+893703+32666</f>
        <v>1318156</v>
      </c>
      <c r="K22" s="199">
        <f>505556+1113761</f>
        <v>1619317</v>
      </c>
      <c r="L22" s="199">
        <f>540153+1200674</f>
        <v>1740827</v>
      </c>
      <c r="M22" s="199">
        <f>547117+1292941+16333</f>
        <v>1856391</v>
      </c>
      <c r="N22" s="199">
        <f>670527+1181394+65333</f>
        <v>1917254</v>
      </c>
      <c r="O22" s="199">
        <f>669188+1257389+16333</f>
        <v>1942910</v>
      </c>
      <c r="P22" s="191"/>
      <c r="Q22" s="154"/>
      <c r="R22" s="154"/>
      <c r="S22" s="154"/>
      <c r="T22" s="154"/>
      <c r="U22" s="154"/>
      <c r="V22" s="154"/>
      <c r="W22" s="154"/>
      <c r="X22" s="154"/>
      <c r="Y22" s="154"/>
      <c r="Z22" s="154"/>
    </row>
    <row r="23" ht="12.75" customHeight="1">
      <c r="A23" s="192">
        <v>19.0</v>
      </c>
      <c r="B23" s="193" t="s">
        <v>354</v>
      </c>
      <c r="C23" s="192" t="s">
        <v>342</v>
      </c>
      <c r="D23" s="194">
        <f>336227+660950</f>
        <v>997177</v>
      </c>
      <c r="E23" s="194">
        <f>371132+913483</f>
        <v>1284615</v>
      </c>
      <c r="F23" s="194">
        <f>546621+1034145</f>
        <v>1580766</v>
      </c>
      <c r="G23" s="194">
        <f>510666+941884</f>
        <v>1452550</v>
      </c>
      <c r="H23" s="194">
        <f>347252+789288</f>
        <v>1136540</v>
      </c>
      <c r="I23" s="194">
        <f>871994+1960388+48999</f>
        <v>2881381</v>
      </c>
      <c r="J23" s="194">
        <f t="shared" si="4"/>
        <v>1318156</v>
      </c>
      <c r="K23" s="194">
        <f>458168+958102</f>
        <v>1416270</v>
      </c>
      <c r="L23" s="194">
        <f>464048+1015963</f>
        <v>1480011</v>
      </c>
      <c r="M23" s="194">
        <f>456613+1160801+16333</f>
        <v>1633747</v>
      </c>
      <c r="N23" s="194">
        <f>614576+1114633+65333</f>
        <v>1794542</v>
      </c>
      <c r="O23" s="194">
        <f>597632+1174378+16333</f>
        <v>1788343</v>
      </c>
      <c r="P23" s="191">
        <v>16.0</v>
      </c>
      <c r="Q23" s="191"/>
      <c r="R23" s="154"/>
      <c r="S23" s="154"/>
      <c r="T23" s="154"/>
      <c r="U23" s="154"/>
      <c r="V23" s="154"/>
      <c r="W23" s="154"/>
      <c r="X23" s="154"/>
      <c r="Y23" s="154"/>
      <c r="Z23" s="154"/>
    </row>
    <row r="24" ht="12.75" customHeight="1">
      <c r="A24" s="197">
        <v>20.0</v>
      </c>
      <c r="B24" s="198" t="s">
        <v>355</v>
      </c>
      <c r="C24" s="197" t="s">
        <v>342</v>
      </c>
      <c r="D24" s="199">
        <v>1628521.0</v>
      </c>
      <c r="E24" s="199">
        <v>1710016.0</v>
      </c>
      <c r="F24" s="199">
        <v>2449693.0</v>
      </c>
      <c r="G24" s="199">
        <v>2240856.0</v>
      </c>
      <c r="H24" s="199">
        <v>2026603.0</v>
      </c>
      <c r="I24" s="199">
        <v>2681923.0</v>
      </c>
      <c r="J24" s="199">
        <v>2204661.0</v>
      </c>
      <c r="K24" s="199">
        <v>2227982.0</v>
      </c>
      <c r="L24" s="199">
        <v>2056027.0</v>
      </c>
      <c r="M24" s="199">
        <v>2226083.0</v>
      </c>
      <c r="N24" s="199">
        <v>2825375.0</v>
      </c>
      <c r="O24" s="199">
        <v>2516075.0</v>
      </c>
      <c r="P24" s="191">
        <f>+P23*1.75</f>
        <v>28</v>
      </c>
      <c r="Q24" s="191"/>
      <c r="R24" s="191"/>
      <c r="S24" s="191"/>
      <c r="T24" s="191"/>
      <c r="U24" s="191"/>
      <c r="V24" s="154"/>
      <c r="W24" s="154"/>
      <c r="X24" s="154"/>
      <c r="Y24" s="154"/>
      <c r="Z24" s="154"/>
    </row>
    <row r="25" ht="12.75" customHeight="1">
      <c r="A25" s="192">
        <v>21.0</v>
      </c>
      <c r="B25" s="193" t="s">
        <v>356</v>
      </c>
      <c r="C25" s="192" t="s">
        <v>342</v>
      </c>
      <c r="D25" s="194">
        <v>1382553.0</v>
      </c>
      <c r="E25" s="194">
        <v>1452279.0</v>
      </c>
      <c r="F25" s="194">
        <v>2136460.0</v>
      </c>
      <c r="G25" s="194">
        <v>1944835.0</v>
      </c>
      <c r="H25" s="194">
        <v>1554713.0</v>
      </c>
      <c r="I25" s="194">
        <v>3756613.0</v>
      </c>
      <c r="J25" s="194">
        <v>1751488.0</v>
      </c>
      <c r="K25" s="194">
        <v>2044141.0</v>
      </c>
      <c r="L25" s="194">
        <v>1812248.0</v>
      </c>
      <c r="M25" s="194">
        <v>1823231.0</v>
      </c>
      <c r="N25" s="194">
        <v>2673085.0</v>
      </c>
      <c r="O25" s="194">
        <v>2276641.0</v>
      </c>
      <c r="P25" s="154"/>
      <c r="Q25" s="154"/>
      <c r="R25" s="154"/>
      <c r="S25" s="154"/>
      <c r="T25" s="154"/>
      <c r="U25" s="154"/>
      <c r="V25" s="154"/>
      <c r="W25" s="154"/>
      <c r="X25" s="154"/>
      <c r="Y25" s="154"/>
      <c r="Z25" s="154"/>
    </row>
    <row r="26" ht="12.75" customHeight="1">
      <c r="A26" s="197">
        <v>22.0</v>
      </c>
      <c r="B26" s="198" t="s">
        <v>357</v>
      </c>
      <c r="C26" s="197" t="s">
        <v>342</v>
      </c>
      <c r="D26" s="206">
        <f t="shared" ref="D26:O26" si="5">+D14+D20</f>
        <v>19047834</v>
      </c>
      <c r="E26" s="206">
        <f t="shared" si="5"/>
        <v>16202946</v>
      </c>
      <c r="F26" s="206">
        <f t="shared" si="5"/>
        <v>17043547</v>
      </c>
      <c r="G26" s="206">
        <f t="shared" si="5"/>
        <v>18233013</v>
      </c>
      <c r="H26" s="206">
        <f t="shared" si="5"/>
        <v>17165943</v>
      </c>
      <c r="I26" s="206">
        <f t="shared" si="5"/>
        <v>16729144</v>
      </c>
      <c r="J26" s="206">
        <f t="shared" si="5"/>
        <v>18559542</v>
      </c>
      <c r="K26" s="206">
        <f t="shared" si="5"/>
        <v>18427903</v>
      </c>
      <c r="L26" s="206">
        <f t="shared" si="5"/>
        <v>19456099</v>
      </c>
      <c r="M26" s="206">
        <f t="shared" si="5"/>
        <v>16972919</v>
      </c>
      <c r="N26" s="206">
        <f t="shared" si="5"/>
        <v>19561321</v>
      </c>
      <c r="O26" s="206">
        <f t="shared" si="5"/>
        <v>18213424</v>
      </c>
      <c r="P26" s="154"/>
      <c r="Q26" s="154"/>
      <c r="R26" s="154"/>
      <c r="S26" s="154"/>
      <c r="T26" s="154"/>
      <c r="U26" s="154"/>
      <c r="V26" s="154"/>
      <c r="W26" s="154"/>
      <c r="X26" s="154"/>
      <c r="Y26" s="154"/>
      <c r="Z26" s="154"/>
    </row>
    <row r="27" ht="12.75" customHeight="1">
      <c r="A27" s="192">
        <v>23.0</v>
      </c>
      <c r="B27" s="193" t="s">
        <v>358</v>
      </c>
      <c r="C27" s="192" t="s">
        <v>342</v>
      </c>
      <c r="D27" s="206">
        <f t="shared" ref="D27:O27" si="6">+D15+D21</f>
        <v>16028115</v>
      </c>
      <c r="E27" s="206">
        <f t="shared" si="6"/>
        <v>13191891</v>
      </c>
      <c r="F27" s="206">
        <f t="shared" si="6"/>
        <v>14247329</v>
      </c>
      <c r="G27" s="206">
        <f t="shared" si="6"/>
        <v>15543529</v>
      </c>
      <c r="H27" s="206">
        <f t="shared" si="6"/>
        <v>13864054</v>
      </c>
      <c r="I27" s="206">
        <f t="shared" si="6"/>
        <v>27270841</v>
      </c>
      <c r="J27" s="206">
        <f t="shared" si="6"/>
        <v>17978202</v>
      </c>
      <c r="K27" s="206">
        <f t="shared" si="6"/>
        <v>17008280</v>
      </c>
      <c r="L27" s="206">
        <f t="shared" si="6"/>
        <v>17493674</v>
      </c>
      <c r="M27" s="206">
        <f t="shared" si="6"/>
        <v>13398958</v>
      </c>
      <c r="N27" s="206">
        <f t="shared" si="6"/>
        <v>16394936</v>
      </c>
      <c r="O27" s="206">
        <f t="shared" si="6"/>
        <v>15440529</v>
      </c>
      <c r="P27" s="154"/>
      <c r="Q27" s="154"/>
      <c r="R27" s="154"/>
      <c r="S27" s="154"/>
      <c r="T27" s="154"/>
      <c r="U27" s="154"/>
      <c r="V27" s="154"/>
      <c r="W27" s="154"/>
      <c r="X27" s="154"/>
      <c r="Y27" s="154"/>
      <c r="Z27" s="154"/>
    </row>
    <row r="28" ht="12.75" customHeight="1">
      <c r="A28" s="197">
        <v>24.0</v>
      </c>
      <c r="B28" s="198" t="s">
        <v>359</v>
      </c>
      <c r="C28" s="197" t="s">
        <v>342</v>
      </c>
      <c r="D28" s="206">
        <f t="shared" ref="D28:O28" si="7">+D16+D22</f>
        <v>11522530</v>
      </c>
      <c r="E28" s="206">
        <f t="shared" si="7"/>
        <v>9700473</v>
      </c>
      <c r="F28" s="206">
        <f t="shared" si="7"/>
        <v>10337679</v>
      </c>
      <c r="G28" s="206">
        <f t="shared" si="7"/>
        <v>10926700</v>
      </c>
      <c r="H28" s="206">
        <f t="shared" si="7"/>
        <v>10445073</v>
      </c>
      <c r="I28" s="206">
        <f t="shared" si="7"/>
        <v>10280159</v>
      </c>
      <c r="J28" s="206">
        <f t="shared" si="7"/>
        <v>11597552</v>
      </c>
      <c r="K28" s="206">
        <f t="shared" si="7"/>
        <v>11173666</v>
      </c>
      <c r="L28" s="206">
        <f t="shared" si="7"/>
        <v>11783244</v>
      </c>
      <c r="M28" s="206">
        <f t="shared" si="7"/>
        <v>10131563</v>
      </c>
      <c r="N28" s="206">
        <f t="shared" si="7"/>
        <v>11646713</v>
      </c>
      <c r="O28" s="206">
        <f t="shared" si="7"/>
        <v>11130908</v>
      </c>
      <c r="P28" s="154"/>
      <c r="Q28" s="154"/>
      <c r="R28" s="154"/>
      <c r="S28" s="154"/>
      <c r="T28" s="154"/>
      <c r="U28" s="154"/>
      <c r="V28" s="154"/>
      <c r="W28" s="154"/>
      <c r="X28" s="154"/>
      <c r="Y28" s="154"/>
      <c r="Z28" s="154"/>
    </row>
    <row r="29" ht="12.75" customHeight="1">
      <c r="A29" s="192">
        <v>25.0</v>
      </c>
      <c r="B29" s="193" t="s">
        <v>360</v>
      </c>
      <c r="C29" s="192" t="s">
        <v>342</v>
      </c>
      <c r="D29" s="206">
        <f t="shared" ref="D29:O29" si="8">+D17+D23</f>
        <v>9790789</v>
      </c>
      <c r="E29" s="206">
        <f t="shared" si="8"/>
        <v>7928940</v>
      </c>
      <c r="F29" s="206">
        <f t="shared" si="8"/>
        <v>8710108</v>
      </c>
      <c r="G29" s="206">
        <f t="shared" si="8"/>
        <v>9363643</v>
      </c>
      <c r="H29" s="206">
        <f t="shared" si="8"/>
        <v>8326895</v>
      </c>
      <c r="I29" s="206">
        <f t="shared" si="8"/>
        <v>15481074</v>
      </c>
      <c r="J29" s="206">
        <f t="shared" si="8"/>
        <v>9780250</v>
      </c>
      <c r="K29" s="206">
        <f t="shared" si="8"/>
        <v>9614073</v>
      </c>
      <c r="L29" s="206">
        <f t="shared" si="8"/>
        <v>10002463</v>
      </c>
      <c r="M29" s="206">
        <f t="shared" si="8"/>
        <v>8183271</v>
      </c>
      <c r="N29" s="206">
        <f t="shared" si="8"/>
        <v>9702332</v>
      </c>
      <c r="O29" s="206">
        <f t="shared" si="8"/>
        <v>9453728</v>
      </c>
      <c r="P29" s="154"/>
      <c r="Q29" s="154"/>
      <c r="R29" s="154"/>
      <c r="S29" s="154"/>
      <c r="T29" s="154"/>
      <c r="U29" s="154"/>
      <c r="V29" s="154"/>
      <c r="W29" s="154"/>
      <c r="X29" s="154"/>
      <c r="Y29" s="154"/>
      <c r="Z29" s="154"/>
    </row>
    <row r="30" ht="12.75" customHeight="1">
      <c r="A30" s="197">
        <v>26.0</v>
      </c>
      <c r="B30" s="198" t="s">
        <v>361</v>
      </c>
      <c r="C30" s="197" t="s">
        <v>342</v>
      </c>
      <c r="D30" s="206">
        <f t="shared" ref="D30:O30" si="9">+D18+D24</f>
        <v>13411136</v>
      </c>
      <c r="E30" s="206">
        <f t="shared" si="9"/>
        <v>13500831</v>
      </c>
      <c r="F30" s="206">
        <f t="shared" si="9"/>
        <v>14265574</v>
      </c>
      <c r="G30" s="206">
        <f t="shared" si="9"/>
        <v>15211037</v>
      </c>
      <c r="H30" s="206">
        <f t="shared" si="9"/>
        <v>15054050</v>
      </c>
      <c r="I30" s="206">
        <f t="shared" si="9"/>
        <v>15718047</v>
      </c>
      <c r="J30" s="206">
        <f t="shared" si="9"/>
        <v>17250621</v>
      </c>
      <c r="K30" s="206">
        <f t="shared" si="9"/>
        <v>16324364</v>
      </c>
      <c r="L30" s="206">
        <f t="shared" si="9"/>
        <v>16179253</v>
      </c>
      <c r="M30" s="206">
        <f t="shared" si="9"/>
        <v>15407161</v>
      </c>
      <c r="N30" s="206">
        <f t="shared" si="9"/>
        <v>15995974</v>
      </c>
      <c r="O30" s="206">
        <f t="shared" si="9"/>
        <v>15811189</v>
      </c>
      <c r="P30" s="154"/>
      <c r="Q30" s="154"/>
      <c r="R30" s="154"/>
      <c r="S30" s="154"/>
      <c r="T30" s="154"/>
      <c r="U30" s="154"/>
      <c r="V30" s="154"/>
      <c r="W30" s="154"/>
      <c r="X30" s="154"/>
      <c r="Y30" s="154"/>
      <c r="Z30" s="154"/>
    </row>
    <row r="31" ht="12.75" customHeight="1">
      <c r="A31" s="192">
        <v>27.0</v>
      </c>
      <c r="B31" s="193" t="s">
        <v>362</v>
      </c>
      <c r="C31" s="192" t="s">
        <v>342</v>
      </c>
      <c r="D31" s="206">
        <f t="shared" ref="D31:O31" si="10">+D19+D25</f>
        <v>11616746</v>
      </c>
      <c r="E31" s="206">
        <f t="shared" si="10"/>
        <v>11212819</v>
      </c>
      <c r="F31" s="206">
        <f t="shared" si="10"/>
        <v>12063563</v>
      </c>
      <c r="G31" s="206">
        <f t="shared" si="10"/>
        <v>13058728</v>
      </c>
      <c r="H31" s="206">
        <f t="shared" si="10"/>
        <v>12270451</v>
      </c>
      <c r="I31" s="206">
        <f t="shared" si="10"/>
        <v>22371935</v>
      </c>
      <c r="J31" s="206">
        <f t="shared" si="10"/>
        <v>12669698</v>
      </c>
      <c r="K31" s="206">
        <f t="shared" si="10"/>
        <v>13485097</v>
      </c>
      <c r="L31" s="206">
        <f t="shared" si="10"/>
        <v>13066113</v>
      </c>
      <c r="M31" s="206">
        <f t="shared" si="10"/>
        <v>12499226</v>
      </c>
      <c r="N31" s="206">
        <f t="shared" si="10"/>
        <v>13533932</v>
      </c>
      <c r="O31" s="206">
        <f t="shared" si="10"/>
        <v>13355393</v>
      </c>
      <c r="P31" s="154"/>
      <c r="Q31" s="154"/>
      <c r="R31" s="154"/>
      <c r="S31" s="154"/>
      <c r="T31" s="154"/>
      <c r="U31" s="154"/>
      <c r="V31" s="154"/>
      <c r="W31" s="154"/>
      <c r="X31" s="154"/>
      <c r="Y31" s="154"/>
      <c r="Z31" s="154"/>
    </row>
    <row r="32" ht="12.75" customHeight="1">
      <c r="A32" s="197">
        <v>28.0</v>
      </c>
      <c r="B32" s="198" t="s">
        <v>363</v>
      </c>
      <c r="C32" s="197" t="s">
        <v>342</v>
      </c>
      <c r="D32" s="207">
        <f t="shared" ref="D32:O32" si="11">+D26+D28+D30</f>
        <v>43981500</v>
      </c>
      <c r="E32" s="207">
        <f t="shared" si="11"/>
        <v>39404250</v>
      </c>
      <c r="F32" s="207">
        <f t="shared" si="11"/>
        <v>41646800</v>
      </c>
      <c r="G32" s="207">
        <f t="shared" si="11"/>
        <v>44370750</v>
      </c>
      <c r="H32" s="207">
        <f t="shared" si="11"/>
        <v>42665066</v>
      </c>
      <c r="I32" s="207">
        <f t="shared" si="11"/>
        <v>42727350</v>
      </c>
      <c r="J32" s="207">
        <f t="shared" si="11"/>
        <v>47407715</v>
      </c>
      <c r="K32" s="207">
        <f t="shared" si="11"/>
        <v>45925933</v>
      </c>
      <c r="L32" s="207">
        <f t="shared" si="11"/>
        <v>47418596</v>
      </c>
      <c r="M32" s="207">
        <f t="shared" si="11"/>
        <v>42511643</v>
      </c>
      <c r="N32" s="206">
        <f t="shared" si="11"/>
        <v>47204008</v>
      </c>
      <c r="O32" s="206">
        <f t="shared" si="11"/>
        <v>45155521</v>
      </c>
      <c r="P32" s="191">
        <v>4.7204008E7</v>
      </c>
      <c r="Q32" s="191">
        <f>+N32-P32</f>
        <v>0</v>
      </c>
      <c r="R32" s="154"/>
      <c r="S32" s="154"/>
      <c r="T32" s="154"/>
      <c r="U32" s="154"/>
      <c r="V32" s="154"/>
      <c r="W32" s="154"/>
      <c r="X32" s="154"/>
      <c r="Y32" s="154"/>
      <c r="Z32" s="154"/>
    </row>
    <row r="33" ht="12.75" customHeight="1">
      <c r="A33" s="192">
        <v>29.0</v>
      </c>
      <c r="B33" s="193" t="s">
        <v>364</v>
      </c>
      <c r="C33" s="192" t="s">
        <v>342</v>
      </c>
      <c r="D33" s="207">
        <f t="shared" ref="D33:J33" si="12">+D27+D29+D31</f>
        <v>37435650</v>
      </c>
      <c r="E33" s="207">
        <f t="shared" si="12"/>
        <v>32333650</v>
      </c>
      <c r="F33" s="207">
        <f t="shared" si="12"/>
        <v>35021000</v>
      </c>
      <c r="G33" s="207">
        <f t="shared" si="12"/>
        <v>37965900</v>
      </c>
      <c r="H33" s="207">
        <f t="shared" si="12"/>
        <v>34461400</v>
      </c>
      <c r="I33" s="207">
        <f t="shared" si="12"/>
        <v>65123850</v>
      </c>
      <c r="J33" s="207">
        <f t="shared" si="12"/>
        <v>40428150</v>
      </c>
      <c r="K33" s="207">
        <f t="shared" ref="K33:O33" si="13">+K31+K29+K27</f>
        <v>40107450</v>
      </c>
      <c r="L33" s="207">
        <f t="shared" si="13"/>
        <v>40562250</v>
      </c>
      <c r="M33" s="207">
        <f t="shared" si="13"/>
        <v>34081455</v>
      </c>
      <c r="N33" s="206">
        <f t="shared" si="13"/>
        <v>39631200</v>
      </c>
      <c r="O33" s="206">
        <f t="shared" si="13"/>
        <v>38249650</v>
      </c>
      <c r="P33" s="191"/>
      <c r="Q33" s="191"/>
      <c r="R33" s="154"/>
      <c r="S33" s="154"/>
      <c r="T33" s="154"/>
      <c r="U33" s="154"/>
      <c r="V33" s="154"/>
      <c r="W33" s="154"/>
      <c r="X33" s="154"/>
      <c r="Y33" s="154"/>
      <c r="Z33" s="154"/>
    </row>
    <row r="34" ht="12.75" customHeight="1">
      <c r="A34" s="197">
        <v>30.0</v>
      </c>
      <c r="B34" s="198" t="s">
        <v>365</v>
      </c>
      <c r="C34" s="197" t="s">
        <v>366</v>
      </c>
      <c r="D34" s="208"/>
      <c r="E34" s="208"/>
      <c r="F34" s="208"/>
      <c r="G34" s="208"/>
      <c r="H34" s="208"/>
      <c r="I34" s="208"/>
      <c r="J34" s="208"/>
      <c r="K34" s="208"/>
      <c r="L34" s="208"/>
      <c r="M34" s="208"/>
      <c r="N34" s="208"/>
      <c r="O34" s="208"/>
      <c r="P34" s="191"/>
      <c r="Q34" s="154"/>
      <c r="R34" s="154"/>
      <c r="S34" s="154"/>
      <c r="T34" s="154"/>
      <c r="U34" s="154"/>
      <c r="V34" s="154"/>
      <c r="W34" s="154"/>
      <c r="X34" s="154"/>
      <c r="Y34" s="154"/>
      <c r="Z34" s="154"/>
    </row>
    <row r="35" ht="12.75" customHeight="1">
      <c r="A35" s="192">
        <v>31.0</v>
      </c>
      <c r="B35" s="193" t="s">
        <v>367</v>
      </c>
      <c r="C35" s="192" t="s">
        <v>366</v>
      </c>
      <c r="D35" s="209"/>
      <c r="E35" s="209"/>
      <c r="F35" s="209"/>
      <c r="G35" s="209"/>
      <c r="H35" s="209"/>
      <c r="I35" s="209"/>
      <c r="J35" s="210"/>
      <c r="K35" s="210"/>
      <c r="L35" s="210"/>
      <c r="M35" s="210"/>
      <c r="N35" s="210"/>
      <c r="O35" s="210"/>
      <c r="P35" s="154"/>
      <c r="Q35" s="191"/>
      <c r="R35" s="154"/>
      <c r="S35" s="154"/>
      <c r="T35" s="154"/>
      <c r="U35" s="154"/>
      <c r="V35" s="154"/>
      <c r="W35" s="154"/>
      <c r="X35" s="154"/>
      <c r="Y35" s="154"/>
      <c r="Z35" s="154"/>
    </row>
    <row r="36" ht="12.75" customHeight="1">
      <c r="A36" s="197">
        <v>32.0</v>
      </c>
      <c r="B36" s="198" t="s">
        <v>368</v>
      </c>
      <c r="C36" s="197"/>
      <c r="D36" s="208"/>
      <c r="E36" s="211"/>
      <c r="F36" s="212"/>
      <c r="G36" s="208"/>
      <c r="H36" s="208"/>
      <c r="I36" s="211"/>
      <c r="J36" s="211"/>
      <c r="K36" s="208"/>
      <c r="L36" s="208"/>
      <c r="M36" s="208"/>
      <c r="N36" s="211"/>
      <c r="O36" s="208"/>
      <c r="P36" s="154"/>
      <c r="Q36" s="154"/>
      <c r="R36" s="154"/>
      <c r="S36" s="154"/>
      <c r="T36" s="154"/>
      <c r="U36" s="154"/>
      <c r="V36" s="154"/>
      <c r="W36" s="154"/>
      <c r="X36" s="154"/>
      <c r="Y36" s="154"/>
      <c r="Z36" s="154"/>
    </row>
    <row r="37" ht="12.75" customHeight="1">
      <c r="A37" s="192">
        <v>33.0</v>
      </c>
      <c r="B37" s="193" t="s">
        <v>103</v>
      </c>
      <c r="C37" s="192"/>
      <c r="D37" s="213">
        <f t="shared" ref="D37:O37" si="14">+D32-D33</f>
        <v>6545850</v>
      </c>
      <c r="E37" s="213">
        <f t="shared" si="14"/>
        <v>7070600</v>
      </c>
      <c r="F37" s="213">
        <f t="shared" si="14"/>
        <v>6625800</v>
      </c>
      <c r="G37" s="213">
        <f t="shared" si="14"/>
        <v>6404850</v>
      </c>
      <c r="H37" s="213">
        <f t="shared" si="14"/>
        <v>8203666</v>
      </c>
      <c r="I37" s="213">
        <f t="shared" si="14"/>
        <v>-22396500</v>
      </c>
      <c r="J37" s="213">
        <f t="shared" si="14"/>
        <v>6979565</v>
      </c>
      <c r="K37" s="213">
        <f t="shared" si="14"/>
        <v>5818483</v>
      </c>
      <c r="L37" s="213">
        <f t="shared" si="14"/>
        <v>6856346</v>
      </c>
      <c r="M37" s="213">
        <f t="shared" si="14"/>
        <v>8430188</v>
      </c>
      <c r="N37" s="213">
        <f t="shared" si="14"/>
        <v>7572808</v>
      </c>
      <c r="O37" s="213">
        <f t="shared" si="14"/>
        <v>6905871</v>
      </c>
      <c r="P37" s="154"/>
      <c r="Q37" s="191"/>
      <c r="R37" s="154"/>
      <c r="S37" s="154"/>
      <c r="T37" s="154"/>
      <c r="U37" s="154"/>
      <c r="V37" s="154"/>
      <c r="W37" s="154"/>
      <c r="X37" s="154"/>
      <c r="Y37" s="154"/>
      <c r="Z37" s="154"/>
    </row>
    <row r="38" ht="12.75" customHeight="1">
      <c r="A38" s="197">
        <v>34.0</v>
      </c>
      <c r="B38" s="198" t="s">
        <v>264</v>
      </c>
      <c r="C38" s="197"/>
      <c r="D38" s="211">
        <v>1067.0</v>
      </c>
      <c r="E38" s="211">
        <v>1068.0</v>
      </c>
      <c r="F38" s="214">
        <v>1055.0</v>
      </c>
      <c r="G38" s="214">
        <v>1057.0</v>
      </c>
      <c r="H38" s="208">
        <v>1063.0</v>
      </c>
      <c r="I38" s="208">
        <v>1073.0</v>
      </c>
      <c r="J38" s="208">
        <v>1071.0</v>
      </c>
      <c r="K38" s="208">
        <v>1256.0</v>
      </c>
      <c r="L38" s="215">
        <f>1238</f>
        <v>1238</v>
      </c>
      <c r="M38" s="208">
        <f>1226</f>
        <v>1226</v>
      </c>
      <c r="N38" s="208">
        <v>1185.0</v>
      </c>
      <c r="O38" s="208">
        <v>1206.0</v>
      </c>
      <c r="P38" s="216">
        <f>+O38/O6</f>
        <v>0.9496062992</v>
      </c>
      <c r="Q38" s="154"/>
      <c r="R38" s="154"/>
      <c r="S38" s="154"/>
      <c r="T38" s="154"/>
      <c r="U38" s="154"/>
      <c r="V38" s="154"/>
      <c r="W38" s="154"/>
      <c r="X38" s="154"/>
      <c r="Y38" s="154"/>
      <c r="Z38" s="154"/>
    </row>
    <row r="39" ht="12.75" customHeight="1">
      <c r="A39" s="192">
        <v>35.0</v>
      </c>
      <c r="B39" s="193" t="s">
        <v>369</v>
      </c>
      <c r="C39" s="192"/>
      <c r="D39" s="215"/>
      <c r="E39" s="215"/>
      <c r="F39" s="215"/>
      <c r="G39" s="215"/>
      <c r="H39" s="215"/>
      <c r="I39" s="215"/>
      <c r="J39" s="215"/>
      <c r="K39" s="215"/>
      <c r="L39" s="154"/>
      <c r="M39" s="215"/>
      <c r="N39" s="215"/>
      <c r="O39" s="215"/>
      <c r="P39" s="154"/>
      <c r="Q39" s="154"/>
      <c r="R39" s="154"/>
      <c r="S39" s="154"/>
      <c r="T39" s="154"/>
      <c r="U39" s="154"/>
      <c r="V39" s="154"/>
      <c r="W39" s="154"/>
      <c r="X39" s="154"/>
      <c r="Y39" s="154"/>
      <c r="Z39" s="154"/>
    </row>
    <row r="40" ht="12.75" customHeight="1">
      <c r="A40" s="197">
        <v>36.0</v>
      </c>
      <c r="B40" s="198" t="s">
        <v>370</v>
      </c>
      <c r="C40" s="197"/>
      <c r="D40" s="208">
        <v>0.0</v>
      </c>
      <c r="E40" s="208">
        <v>2.0</v>
      </c>
      <c r="F40" s="208">
        <v>2.0</v>
      </c>
      <c r="G40" s="208">
        <v>0.0</v>
      </c>
      <c r="H40" s="208">
        <v>0.0</v>
      </c>
      <c r="I40" s="208">
        <v>0.0</v>
      </c>
      <c r="J40" s="208">
        <v>0.0</v>
      </c>
      <c r="K40" s="208">
        <v>0.0</v>
      </c>
      <c r="L40" s="208">
        <v>3.0</v>
      </c>
      <c r="M40" s="208">
        <v>3.0</v>
      </c>
      <c r="N40" s="208">
        <v>0.0</v>
      </c>
      <c r="O40" s="208">
        <v>0.0</v>
      </c>
      <c r="P40" s="154"/>
      <c r="Q40" s="154"/>
      <c r="R40" s="154"/>
      <c r="S40" s="154"/>
      <c r="T40" s="154"/>
      <c r="U40" s="154"/>
      <c r="V40" s="154"/>
      <c r="W40" s="154"/>
      <c r="X40" s="154"/>
      <c r="Y40" s="154"/>
      <c r="Z40" s="154"/>
    </row>
    <row r="41" ht="12.75" customHeight="1">
      <c r="A41" s="186"/>
      <c r="B41" s="187"/>
      <c r="C41" s="186"/>
      <c r="D41" s="217"/>
      <c r="E41" s="217"/>
      <c r="F41" s="217"/>
      <c r="G41" s="217"/>
      <c r="H41" s="217"/>
      <c r="I41" s="217"/>
      <c r="J41" s="217"/>
      <c r="K41" s="217"/>
      <c r="L41" s="217"/>
      <c r="M41" s="217"/>
      <c r="N41" s="217"/>
      <c r="O41" s="217"/>
      <c r="P41" s="154"/>
      <c r="Q41" s="154"/>
      <c r="R41" s="154"/>
      <c r="S41" s="154"/>
      <c r="T41" s="154"/>
      <c r="U41" s="154"/>
      <c r="V41" s="154"/>
      <c r="W41" s="154"/>
      <c r="X41" s="154"/>
      <c r="Y41" s="154"/>
      <c r="Z41" s="154"/>
    </row>
    <row r="42" ht="12.75" customHeight="1">
      <c r="A42" s="192"/>
      <c r="B42" s="193"/>
      <c r="C42" s="192"/>
      <c r="D42" s="218">
        <f t="shared" ref="D42:O42" si="15">+D4</f>
        <v>45658</v>
      </c>
      <c r="E42" s="218">
        <f t="shared" si="15"/>
        <v>45689</v>
      </c>
      <c r="F42" s="218">
        <f t="shared" si="15"/>
        <v>45717</v>
      </c>
      <c r="G42" s="218">
        <f t="shared" si="15"/>
        <v>45748</v>
      </c>
      <c r="H42" s="218">
        <f t="shared" si="15"/>
        <v>45778</v>
      </c>
      <c r="I42" s="218">
        <f t="shared" si="15"/>
        <v>45809</v>
      </c>
      <c r="J42" s="218">
        <f t="shared" si="15"/>
        <v>45839</v>
      </c>
      <c r="K42" s="218">
        <f t="shared" si="15"/>
        <v>45870</v>
      </c>
      <c r="L42" s="218">
        <f t="shared" si="15"/>
        <v>45901</v>
      </c>
      <c r="M42" s="218">
        <f t="shared" si="15"/>
        <v>45931</v>
      </c>
      <c r="N42" s="218">
        <f t="shared" si="15"/>
        <v>45962</v>
      </c>
      <c r="O42" s="218">
        <f t="shared" si="15"/>
        <v>45992</v>
      </c>
      <c r="P42" s="154"/>
      <c r="Q42" s="154"/>
      <c r="R42" s="154"/>
      <c r="S42" s="154"/>
      <c r="T42" s="154"/>
      <c r="U42" s="154"/>
      <c r="V42" s="154"/>
      <c r="W42" s="154"/>
      <c r="X42" s="154"/>
      <c r="Y42" s="154"/>
      <c r="Z42" s="154"/>
    </row>
    <row r="43" ht="12.75" customHeight="1">
      <c r="A43" s="197"/>
      <c r="B43" s="198" t="s">
        <v>371</v>
      </c>
      <c r="C43" s="197"/>
      <c r="D43" s="219">
        <f t="shared" ref="D43:O43" si="16">+D14+D16+D18</f>
        <v>39162166</v>
      </c>
      <c r="E43" s="219">
        <f t="shared" si="16"/>
        <v>33116000</v>
      </c>
      <c r="F43" s="219">
        <f t="shared" si="16"/>
        <v>34043650</v>
      </c>
      <c r="G43" s="219">
        <f t="shared" si="16"/>
        <v>37659300</v>
      </c>
      <c r="H43" s="219">
        <f t="shared" si="16"/>
        <v>36696116</v>
      </c>
      <c r="I43" s="219">
        <f t="shared" si="16"/>
        <v>34918784</v>
      </c>
      <c r="J43" s="219">
        <f t="shared" si="16"/>
        <v>41877759</v>
      </c>
      <c r="K43" s="219">
        <f t="shared" si="16"/>
        <v>39444074</v>
      </c>
      <c r="L43" s="219">
        <f t="shared" si="16"/>
        <v>40946613</v>
      </c>
      <c r="M43" s="219">
        <f t="shared" si="16"/>
        <v>35363947</v>
      </c>
      <c r="N43" s="219">
        <f t="shared" si="16"/>
        <v>38980870</v>
      </c>
      <c r="O43" s="219">
        <f t="shared" si="16"/>
        <v>37576163</v>
      </c>
      <c r="P43" s="154"/>
      <c r="Q43" s="154"/>
      <c r="R43" s="154"/>
      <c r="S43" s="154"/>
      <c r="T43" s="154"/>
      <c r="U43" s="154"/>
      <c r="V43" s="154"/>
      <c r="W43" s="154"/>
      <c r="X43" s="154"/>
      <c r="Y43" s="154"/>
      <c r="Z43" s="154"/>
    </row>
    <row r="44" ht="12.75" customHeight="1">
      <c r="A44" s="192"/>
      <c r="B44" s="193" t="s">
        <v>372</v>
      </c>
      <c r="C44" s="192"/>
      <c r="D44" s="213">
        <f t="shared" ref="D44:O44" si="17">+D15+D17+D19</f>
        <v>33505058</v>
      </c>
      <c r="E44" s="213">
        <f t="shared" si="17"/>
        <v>27337488</v>
      </c>
      <c r="F44" s="213">
        <f t="shared" si="17"/>
        <v>28674804</v>
      </c>
      <c r="G44" s="213">
        <f t="shared" si="17"/>
        <v>32117100</v>
      </c>
      <c r="H44" s="213">
        <f t="shared" si="17"/>
        <v>29828523</v>
      </c>
      <c r="I44" s="213">
        <f t="shared" si="17"/>
        <v>54030483</v>
      </c>
      <c r="J44" s="213">
        <f t="shared" si="17"/>
        <v>35351367</v>
      </c>
      <c r="K44" s="213">
        <f t="shared" si="17"/>
        <v>34328741</v>
      </c>
      <c r="L44" s="213">
        <f t="shared" si="17"/>
        <v>35030417</v>
      </c>
      <c r="M44" s="213">
        <f t="shared" si="17"/>
        <v>28118425</v>
      </c>
      <c r="N44" s="213">
        <f t="shared" si="17"/>
        <v>31918375</v>
      </c>
      <c r="O44" s="213">
        <f t="shared" si="17"/>
        <v>31370264</v>
      </c>
      <c r="P44" s="191"/>
      <c r="Q44" s="191"/>
      <c r="R44" s="191"/>
      <c r="S44" s="191"/>
      <c r="T44" s="191"/>
      <c r="U44" s="191"/>
      <c r="V44" s="154"/>
      <c r="W44" s="154"/>
      <c r="X44" s="154"/>
      <c r="Y44" s="154"/>
      <c r="Z44" s="154"/>
    </row>
    <row r="45" ht="12.75" customHeight="1">
      <c r="A45" s="197"/>
      <c r="B45" s="198"/>
      <c r="C45" s="197"/>
      <c r="D45" s="218">
        <f t="shared" ref="D45:O45" si="18">+D4</f>
        <v>45658</v>
      </c>
      <c r="E45" s="218">
        <f t="shared" si="18"/>
        <v>45689</v>
      </c>
      <c r="F45" s="218">
        <f t="shared" si="18"/>
        <v>45717</v>
      </c>
      <c r="G45" s="218">
        <f t="shared" si="18"/>
        <v>45748</v>
      </c>
      <c r="H45" s="218">
        <f t="shared" si="18"/>
        <v>45778</v>
      </c>
      <c r="I45" s="218">
        <f t="shared" si="18"/>
        <v>45809</v>
      </c>
      <c r="J45" s="218">
        <f t="shared" si="18"/>
        <v>45839</v>
      </c>
      <c r="K45" s="218">
        <f t="shared" si="18"/>
        <v>45870</v>
      </c>
      <c r="L45" s="218">
        <f t="shared" si="18"/>
        <v>45901</v>
      </c>
      <c r="M45" s="218">
        <f t="shared" si="18"/>
        <v>45931</v>
      </c>
      <c r="N45" s="218">
        <f t="shared" si="18"/>
        <v>45962</v>
      </c>
      <c r="O45" s="218">
        <f t="shared" si="18"/>
        <v>45992</v>
      </c>
      <c r="P45" s="154"/>
      <c r="Q45" s="154"/>
      <c r="R45" s="154"/>
      <c r="S45" s="154"/>
      <c r="T45" s="154"/>
      <c r="U45" s="154"/>
      <c r="V45" s="154"/>
      <c r="W45" s="154"/>
      <c r="X45" s="154"/>
      <c r="Y45" s="154"/>
      <c r="Z45" s="154"/>
    </row>
    <row r="46" ht="12.75" customHeight="1">
      <c r="A46" s="192"/>
      <c r="B46" s="193" t="s">
        <v>373</v>
      </c>
      <c r="C46" s="192"/>
      <c r="D46" s="213">
        <f t="shared" ref="D46:O46" si="19">+D20+D22+D24</f>
        <v>4819334</v>
      </c>
      <c r="E46" s="213">
        <f t="shared" si="19"/>
        <v>6288250</v>
      </c>
      <c r="F46" s="213">
        <f t="shared" si="19"/>
        <v>7603150</v>
      </c>
      <c r="G46" s="213">
        <f t="shared" si="19"/>
        <v>6711450</v>
      </c>
      <c r="H46" s="213">
        <f t="shared" si="19"/>
        <v>5968950</v>
      </c>
      <c r="I46" s="213">
        <f t="shared" si="19"/>
        <v>7808566</v>
      </c>
      <c r="J46" s="213">
        <f t="shared" si="19"/>
        <v>5529956</v>
      </c>
      <c r="K46" s="213">
        <f t="shared" si="19"/>
        <v>6481859</v>
      </c>
      <c r="L46" s="213">
        <f t="shared" si="19"/>
        <v>6471983</v>
      </c>
      <c r="M46" s="213">
        <f t="shared" si="19"/>
        <v>7147696</v>
      </c>
      <c r="N46" s="213">
        <f t="shared" si="19"/>
        <v>8223138</v>
      </c>
      <c r="O46" s="213">
        <f t="shared" si="19"/>
        <v>7579358</v>
      </c>
      <c r="P46" s="154"/>
      <c r="Q46" s="154"/>
      <c r="R46" s="154"/>
      <c r="S46" s="154"/>
      <c r="T46" s="154"/>
      <c r="U46" s="154"/>
      <c r="V46" s="154"/>
      <c r="W46" s="154"/>
      <c r="X46" s="154"/>
      <c r="Y46" s="154"/>
      <c r="Z46" s="154"/>
    </row>
    <row r="47" ht="12.75" customHeight="1">
      <c r="A47" s="197"/>
      <c r="B47" s="198" t="s">
        <v>374</v>
      </c>
      <c r="C47" s="220"/>
      <c r="D47" s="213">
        <f t="shared" ref="D47:O47" si="20">+D21+D23+D25</f>
        <v>3930592</v>
      </c>
      <c r="E47" s="213">
        <f t="shared" si="20"/>
        <v>4996162</v>
      </c>
      <c r="F47" s="213">
        <f t="shared" si="20"/>
        <v>6346196</v>
      </c>
      <c r="G47" s="213">
        <f t="shared" si="20"/>
        <v>5848800</v>
      </c>
      <c r="H47" s="213">
        <f t="shared" si="20"/>
        <v>4632877</v>
      </c>
      <c r="I47" s="213">
        <f t="shared" si="20"/>
        <v>11093367</v>
      </c>
      <c r="J47" s="213">
        <f t="shared" si="20"/>
        <v>5076783</v>
      </c>
      <c r="K47" s="213">
        <f t="shared" si="20"/>
        <v>5778709</v>
      </c>
      <c r="L47" s="213">
        <f t="shared" si="20"/>
        <v>5531833</v>
      </c>
      <c r="M47" s="213">
        <f t="shared" si="20"/>
        <v>5963030</v>
      </c>
      <c r="N47" s="213">
        <f t="shared" si="20"/>
        <v>7712825</v>
      </c>
      <c r="O47" s="213">
        <f t="shared" si="20"/>
        <v>6879386</v>
      </c>
      <c r="P47" s="154"/>
      <c r="Q47" s="154"/>
      <c r="R47" s="154"/>
      <c r="S47" s="154"/>
      <c r="T47" s="154"/>
      <c r="U47" s="154"/>
      <c r="V47" s="154"/>
      <c r="W47" s="154"/>
      <c r="X47" s="154"/>
      <c r="Y47" s="154"/>
      <c r="Z47" s="154"/>
    </row>
    <row r="48" ht="12.75" customHeight="1">
      <c r="A48" s="192"/>
      <c r="B48" s="193" t="s">
        <v>375</v>
      </c>
      <c r="C48" s="192"/>
      <c r="D48" s="221">
        <f t="shared" ref="D48:O48" si="21">+D44/D43</f>
        <v>0.8555466008</v>
      </c>
      <c r="E48" s="221">
        <f t="shared" si="21"/>
        <v>0.8255069453</v>
      </c>
      <c r="F48" s="221">
        <f t="shared" si="21"/>
        <v>0.8422952298</v>
      </c>
      <c r="G48" s="221">
        <f t="shared" si="21"/>
        <v>0.8528331647</v>
      </c>
      <c r="H48" s="221">
        <f t="shared" si="21"/>
        <v>0.8128523193</v>
      </c>
      <c r="I48" s="221">
        <f t="shared" si="21"/>
        <v>1.547318572</v>
      </c>
      <c r="J48" s="221">
        <f t="shared" si="21"/>
        <v>0.8441561307</v>
      </c>
      <c r="K48" s="221">
        <f t="shared" si="21"/>
        <v>0.8703142835</v>
      </c>
      <c r="L48" s="221">
        <f t="shared" si="21"/>
        <v>0.8555143987</v>
      </c>
      <c r="M48" s="221">
        <f t="shared" si="21"/>
        <v>0.7951155735</v>
      </c>
      <c r="N48" s="221">
        <f t="shared" si="21"/>
        <v>0.8188215142</v>
      </c>
      <c r="O48" s="221">
        <f t="shared" si="21"/>
        <v>0.8348447924</v>
      </c>
      <c r="P48" s="154"/>
      <c r="Q48" s="154"/>
      <c r="R48" s="154"/>
      <c r="S48" s="154"/>
      <c r="T48" s="154"/>
      <c r="U48" s="154"/>
      <c r="V48" s="154"/>
      <c r="W48" s="154"/>
      <c r="X48" s="154"/>
      <c r="Y48" s="154"/>
      <c r="Z48" s="154"/>
    </row>
    <row r="49" ht="12.75" customHeight="1">
      <c r="A49" s="197"/>
      <c r="B49" s="198" t="s">
        <v>376</v>
      </c>
      <c r="C49" s="197"/>
      <c r="D49" s="221">
        <f t="shared" ref="D49:O49" si="22">+D47/D46</f>
        <v>0.815588212</v>
      </c>
      <c r="E49" s="221">
        <f t="shared" si="22"/>
        <v>0.7945234366</v>
      </c>
      <c r="F49" s="221">
        <f t="shared" si="22"/>
        <v>0.8346798366</v>
      </c>
      <c r="G49" s="221">
        <f t="shared" si="22"/>
        <v>0.8714659276</v>
      </c>
      <c r="H49" s="221">
        <f t="shared" si="22"/>
        <v>0.7761628092</v>
      </c>
      <c r="I49" s="221">
        <f t="shared" si="22"/>
        <v>1.420666355</v>
      </c>
      <c r="J49" s="221">
        <f t="shared" si="22"/>
        <v>0.9180512467</v>
      </c>
      <c r="K49" s="221">
        <f t="shared" si="22"/>
        <v>0.8915203185</v>
      </c>
      <c r="L49" s="221">
        <f t="shared" si="22"/>
        <v>0.8547354034</v>
      </c>
      <c r="M49" s="221">
        <f t="shared" si="22"/>
        <v>0.8342590396</v>
      </c>
      <c r="N49" s="221">
        <f t="shared" si="22"/>
        <v>0.9379418173</v>
      </c>
      <c r="O49" s="221">
        <f t="shared" si="22"/>
        <v>0.907647587</v>
      </c>
      <c r="P49" s="154"/>
      <c r="Q49" s="154"/>
      <c r="R49" s="154"/>
      <c r="S49" s="154"/>
      <c r="T49" s="154"/>
      <c r="U49" s="154"/>
      <c r="V49" s="154"/>
      <c r="W49" s="154"/>
      <c r="X49" s="154"/>
      <c r="Y49" s="154"/>
      <c r="Z49" s="154"/>
    </row>
    <row r="50" ht="12.75" customHeight="1">
      <c r="A50" s="186"/>
      <c r="B50" s="187"/>
      <c r="C50" s="186"/>
      <c r="D50" s="217"/>
      <c r="E50" s="222"/>
      <c r="F50" s="223"/>
      <c r="G50" s="217"/>
      <c r="H50" s="217"/>
      <c r="I50" s="217"/>
      <c r="J50" s="154"/>
      <c r="K50" s="154"/>
      <c r="L50" s="154"/>
      <c r="M50" s="154"/>
      <c r="N50" s="154"/>
      <c r="O50" s="154"/>
      <c r="P50" s="154"/>
      <c r="Q50" s="154"/>
      <c r="R50" s="154"/>
      <c r="S50" s="154"/>
      <c r="T50" s="154"/>
      <c r="U50" s="154"/>
      <c r="V50" s="154"/>
      <c r="W50" s="154"/>
      <c r="X50" s="154"/>
      <c r="Y50" s="154"/>
      <c r="Z50" s="154"/>
    </row>
    <row r="51" ht="12.75" customHeight="1">
      <c r="A51" s="186"/>
      <c r="B51" s="187"/>
      <c r="C51" s="187"/>
      <c r="D51" s="154"/>
      <c r="E51" s="154"/>
      <c r="F51" s="154"/>
      <c r="G51" s="154"/>
      <c r="H51" s="154"/>
      <c r="I51" s="154"/>
      <c r="J51" s="154"/>
      <c r="K51" s="154"/>
      <c r="L51" s="154"/>
      <c r="M51" s="154"/>
      <c r="N51" s="154"/>
      <c r="O51" s="154"/>
      <c r="P51" s="154"/>
      <c r="Q51" s="154"/>
      <c r="R51" s="154"/>
      <c r="S51" s="154"/>
      <c r="T51" s="154"/>
      <c r="U51" s="154"/>
      <c r="V51" s="154"/>
      <c r="W51" s="154"/>
      <c r="X51" s="154"/>
      <c r="Y51" s="154"/>
      <c r="Z51" s="154"/>
    </row>
    <row r="52" ht="12.75" customHeight="1">
      <c r="A52" s="188" t="s">
        <v>377</v>
      </c>
      <c r="B52" s="55"/>
      <c r="C52" s="189" t="s">
        <v>332</v>
      </c>
      <c r="D52" s="190">
        <f t="shared" ref="D52:O52" si="23">+D4</f>
        <v>45658</v>
      </c>
      <c r="E52" s="190">
        <f t="shared" si="23"/>
        <v>45689</v>
      </c>
      <c r="F52" s="190">
        <f t="shared" si="23"/>
        <v>45717</v>
      </c>
      <c r="G52" s="190">
        <f t="shared" si="23"/>
        <v>45748</v>
      </c>
      <c r="H52" s="190">
        <f t="shared" si="23"/>
        <v>45778</v>
      </c>
      <c r="I52" s="190">
        <f t="shared" si="23"/>
        <v>45809</v>
      </c>
      <c r="J52" s="190">
        <f t="shared" si="23"/>
        <v>45839</v>
      </c>
      <c r="K52" s="190">
        <f t="shared" si="23"/>
        <v>45870</v>
      </c>
      <c r="L52" s="190">
        <f t="shared" si="23"/>
        <v>45901</v>
      </c>
      <c r="M52" s="190">
        <f t="shared" si="23"/>
        <v>45931</v>
      </c>
      <c r="N52" s="190">
        <f t="shared" si="23"/>
        <v>45962</v>
      </c>
      <c r="O52" s="190">
        <f t="shared" si="23"/>
        <v>45992</v>
      </c>
      <c r="P52" s="154"/>
      <c r="Q52" s="154"/>
      <c r="R52" s="154"/>
      <c r="S52" s="154"/>
      <c r="T52" s="154"/>
      <c r="U52" s="154"/>
      <c r="V52" s="154"/>
      <c r="W52" s="154"/>
      <c r="X52" s="154"/>
      <c r="Y52" s="154"/>
      <c r="Z52" s="154"/>
    </row>
    <row r="53" ht="12.75" customHeight="1">
      <c r="A53" s="192">
        <v>1.0</v>
      </c>
      <c r="B53" s="193" t="s">
        <v>378</v>
      </c>
      <c r="C53" s="192" t="s">
        <v>379</v>
      </c>
      <c r="D53" s="224">
        <f t="shared" ref="D53:O53" si="24">+D6/D5</f>
        <v>0.9942622951</v>
      </c>
      <c r="E53" s="224">
        <f t="shared" si="24"/>
        <v>0.9918032787</v>
      </c>
      <c r="F53" s="224">
        <f t="shared" si="24"/>
        <v>0.9909836066</v>
      </c>
      <c r="G53" s="224">
        <f t="shared" si="24"/>
        <v>0.9904</v>
      </c>
      <c r="H53" s="224">
        <f t="shared" si="24"/>
        <v>0.9808</v>
      </c>
      <c r="I53" s="225">
        <f t="shared" si="24"/>
        <v>0.9952</v>
      </c>
      <c r="J53" s="224">
        <f t="shared" si="24"/>
        <v>1</v>
      </c>
      <c r="K53" s="224">
        <f t="shared" si="24"/>
        <v>0.9968253968</v>
      </c>
      <c r="L53" s="224">
        <f t="shared" si="24"/>
        <v>0.9968253968</v>
      </c>
      <c r="M53" s="224">
        <f t="shared" si="24"/>
        <v>1</v>
      </c>
      <c r="N53" s="224">
        <f t="shared" si="24"/>
        <v>0.996031746</v>
      </c>
      <c r="O53" s="224">
        <f t="shared" si="24"/>
        <v>0.9992132179</v>
      </c>
      <c r="P53" s="154"/>
      <c r="Q53" s="154"/>
      <c r="R53" s="154"/>
      <c r="S53" s="154"/>
      <c r="T53" s="154"/>
      <c r="U53" s="154"/>
      <c r="V53" s="154"/>
      <c r="W53" s="154"/>
      <c r="X53" s="154"/>
      <c r="Y53" s="154"/>
      <c r="Z53" s="154"/>
    </row>
    <row r="54" ht="12.75" customHeight="1">
      <c r="A54" s="197">
        <v>2.0</v>
      </c>
      <c r="B54" s="198" t="s">
        <v>380</v>
      </c>
      <c r="C54" s="197" t="s">
        <v>379</v>
      </c>
      <c r="D54" s="224">
        <f t="shared" ref="D54:O54" si="25">+D7/D5</f>
        <v>0.9204918033</v>
      </c>
      <c r="E54" s="224">
        <f t="shared" si="25"/>
        <v>0.9196721311</v>
      </c>
      <c r="F54" s="224">
        <f t="shared" si="25"/>
        <v>0.918852459</v>
      </c>
      <c r="G54" s="224">
        <f t="shared" si="25"/>
        <v>0.916</v>
      </c>
      <c r="H54" s="224">
        <f t="shared" si="25"/>
        <v>0.9064</v>
      </c>
      <c r="I54" s="225">
        <f t="shared" si="25"/>
        <v>8.9208</v>
      </c>
      <c r="J54" s="224">
        <f t="shared" si="25"/>
        <v>0.9243498818</v>
      </c>
      <c r="K54" s="224">
        <f t="shared" si="25"/>
        <v>0.923015873</v>
      </c>
      <c r="L54" s="224">
        <f t="shared" si="25"/>
        <v>0.9206349206</v>
      </c>
      <c r="M54" s="224">
        <f t="shared" si="25"/>
        <v>0.9209302326</v>
      </c>
      <c r="N54" s="224">
        <f t="shared" si="25"/>
        <v>0.9174603175</v>
      </c>
      <c r="O54" s="224">
        <f t="shared" si="25"/>
        <v>0.922895358</v>
      </c>
      <c r="P54" s="154"/>
      <c r="Q54" s="154"/>
      <c r="R54" s="154"/>
      <c r="S54" s="154"/>
      <c r="T54" s="154"/>
      <c r="U54" s="154"/>
      <c r="V54" s="154"/>
      <c r="W54" s="154"/>
      <c r="X54" s="154"/>
      <c r="Y54" s="154"/>
      <c r="Z54" s="154"/>
    </row>
    <row r="55" ht="12.75" customHeight="1">
      <c r="A55" s="192">
        <v>3.0</v>
      </c>
      <c r="B55" s="193" t="s">
        <v>381</v>
      </c>
      <c r="C55" s="192" t="s">
        <v>379</v>
      </c>
      <c r="D55" s="224">
        <f t="shared" ref="D55:O55" si="26">IF((D5&gt;0),D8/D5,"0")</f>
        <v>0.9483606557</v>
      </c>
      <c r="E55" s="224">
        <f t="shared" si="26"/>
        <v>0.9491803279</v>
      </c>
      <c r="F55" s="224">
        <f t="shared" si="26"/>
        <v>0.9508196721</v>
      </c>
      <c r="G55" s="224">
        <f t="shared" si="26"/>
        <v>0.936</v>
      </c>
      <c r="H55" s="224">
        <f t="shared" si="26"/>
        <v>0.9408</v>
      </c>
      <c r="I55" s="225">
        <f t="shared" si="26"/>
        <v>0.9416</v>
      </c>
      <c r="J55" s="224">
        <f t="shared" si="26"/>
        <v>0.9314420804</v>
      </c>
      <c r="K55" s="224">
        <f t="shared" si="26"/>
        <v>0.9404761905</v>
      </c>
      <c r="L55" s="224">
        <f t="shared" si="26"/>
        <v>0.9428571429</v>
      </c>
      <c r="M55" s="224">
        <f t="shared" si="26"/>
        <v>0.9240310078</v>
      </c>
      <c r="N55" s="224">
        <f t="shared" si="26"/>
        <v>0.9476190476</v>
      </c>
      <c r="O55" s="224">
        <f t="shared" si="26"/>
        <v>0.9472856019</v>
      </c>
      <c r="P55" s="154"/>
      <c r="Q55" s="154"/>
      <c r="R55" s="154"/>
      <c r="S55" s="154"/>
      <c r="T55" s="154"/>
      <c r="U55" s="154"/>
      <c r="V55" s="154"/>
      <c r="W55" s="154"/>
      <c r="X55" s="154"/>
      <c r="Y55" s="154"/>
      <c r="Z55" s="154"/>
    </row>
    <row r="56" ht="26.25" customHeight="1">
      <c r="A56" s="197">
        <v>4.0</v>
      </c>
      <c r="B56" s="198" t="s">
        <v>382</v>
      </c>
      <c r="C56" s="226" t="s">
        <v>383</v>
      </c>
      <c r="D56" s="208"/>
      <c r="E56" s="208"/>
      <c r="F56" s="208"/>
      <c r="G56" s="208"/>
      <c r="H56" s="208"/>
      <c r="I56" s="208"/>
      <c r="J56" s="208"/>
      <c r="K56" s="208"/>
      <c r="L56" s="208"/>
      <c r="M56" s="208"/>
      <c r="N56" s="208"/>
      <c r="O56" s="208"/>
      <c r="P56" s="154"/>
      <c r="Q56" s="154"/>
      <c r="R56" s="154"/>
      <c r="S56" s="154"/>
      <c r="T56" s="154"/>
      <c r="U56" s="154"/>
      <c r="V56" s="154"/>
      <c r="W56" s="154"/>
      <c r="X56" s="154"/>
      <c r="Y56" s="154"/>
      <c r="Z56" s="154"/>
    </row>
    <row r="57" ht="12.75" customHeight="1">
      <c r="A57" s="192">
        <v>5.0</v>
      </c>
      <c r="B57" s="193" t="s">
        <v>384</v>
      </c>
      <c r="C57" s="192" t="s">
        <v>379</v>
      </c>
      <c r="D57" s="224">
        <f t="shared" ref="D57:O57" si="27">+ROUND((D9-D10)/D9,4)</f>
        <v>0.0951</v>
      </c>
      <c r="E57" s="224">
        <f t="shared" si="27"/>
        <v>0.1695</v>
      </c>
      <c r="F57" s="224">
        <f t="shared" si="27"/>
        <v>0.2289</v>
      </c>
      <c r="G57" s="224">
        <f t="shared" si="27"/>
        <v>0.2092</v>
      </c>
      <c r="H57" s="224">
        <f t="shared" si="27"/>
        <v>0.2961</v>
      </c>
      <c r="I57" s="224">
        <f t="shared" si="27"/>
        <v>0.3884</v>
      </c>
      <c r="J57" s="224">
        <f t="shared" si="27"/>
        <v>0.0663</v>
      </c>
      <c r="K57" s="224">
        <f t="shared" si="27"/>
        <v>0.1598</v>
      </c>
      <c r="L57" s="224">
        <f t="shared" si="27"/>
        <v>0.1371</v>
      </c>
      <c r="M57" s="224">
        <f t="shared" si="27"/>
        <v>0.3436</v>
      </c>
      <c r="N57" s="224">
        <f t="shared" si="27"/>
        <v>0.1634</v>
      </c>
      <c r="O57" s="224">
        <f t="shared" si="27"/>
        <v>0.2755</v>
      </c>
      <c r="P57" s="227">
        <f>AVERAGE(D57:O57)</f>
        <v>0.211075</v>
      </c>
      <c r="Q57" s="154"/>
      <c r="R57" s="154"/>
      <c r="S57" s="154"/>
      <c r="T57" s="154"/>
      <c r="U57" s="154"/>
      <c r="V57" s="154"/>
      <c r="W57" s="154"/>
      <c r="X57" s="154"/>
      <c r="Y57" s="154"/>
      <c r="Z57" s="154"/>
    </row>
    <row r="58" ht="12.75" customHeight="1">
      <c r="A58" s="197">
        <v>6.0</v>
      </c>
      <c r="B58" s="198" t="s">
        <v>385</v>
      </c>
      <c r="C58" s="197" t="s">
        <v>379</v>
      </c>
      <c r="D58" s="225">
        <f t="shared" ref="D58:O58" si="28">+D15/D14</f>
        <v>0.847181379</v>
      </c>
      <c r="E58" s="225">
        <f t="shared" si="28"/>
        <v>0.8230124877</v>
      </c>
      <c r="F58" s="225">
        <f t="shared" si="28"/>
        <v>0.841843701</v>
      </c>
      <c r="G58" s="225">
        <f t="shared" si="28"/>
        <v>0.8491482907</v>
      </c>
      <c r="H58" s="225">
        <f t="shared" si="28"/>
        <v>0.8106328181</v>
      </c>
      <c r="I58" s="225">
        <f t="shared" si="28"/>
        <v>1.676833515</v>
      </c>
      <c r="J58" s="225">
        <f t="shared" si="28"/>
        <v>0.9648788155</v>
      </c>
      <c r="K58" s="224">
        <f t="shared" si="28"/>
        <v>0.9301375902</v>
      </c>
      <c r="L58" s="225">
        <f t="shared" si="28"/>
        <v>0.9090118152</v>
      </c>
      <c r="M58" s="225">
        <f t="shared" si="28"/>
        <v>0.7832285964</v>
      </c>
      <c r="N58" s="224">
        <f t="shared" si="28"/>
        <v>0.8177284829</v>
      </c>
      <c r="O58" s="225">
        <f t="shared" si="28"/>
        <v>0.8365523313</v>
      </c>
      <c r="P58" s="154"/>
      <c r="Q58" s="154"/>
      <c r="R58" s="154"/>
      <c r="S58" s="154"/>
      <c r="T58" s="154"/>
      <c r="U58" s="154"/>
      <c r="V58" s="154"/>
      <c r="W58" s="154"/>
      <c r="X58" s="154"/>
      <c r="Y58" s="154"/>
      <c r="Z58" s="154"/>
    </row>
    <row r="59" ht="12.75" customHeight="1">
      <c r="A59" s="192">
        <v>7.0</v>
      </c>
      <c r="B59" s="193" t="s">
        <v>386</v>
      </c>
      <c r="C59" s="192" t="s">
        <v>379</v>
      </c>
      <c r="D59" s="225">
        <f>+D17/D16</f>
        <v>0.8545101645</v>
      </c>
      <c r="E59" s="225">
        <f>+E20/E16</f>
        <v>0.3630259407</v>
      </c>
      <c r="F59" s="225">
        <f t="shared" ref="F59:O59" si="29">+F17/F16</f>
        <v>0.8460438932</v>
      </c>
      <c r="G59" s="225">
        <f t="shared" si="29"/>
        <v>0.853299196</v>
      </c>
      <c r="H59" s="225">
        <f t="shared" si="29"/>
        <v>0.8023955738</v>
      </c>
      <c r="I59" s="225">
        <f t="shared" si="29"/>
        <v>1.522367813</v>
      </c>
      <c r="J59" s="225">
        <f t="shared" si="29"/>
        <v>0.8232092625</v>
      </c>
      <c r="K59" s="224">
        <f t="shared" si="29"/>
        <v>0.858017956</v>
      </c>
      <c r="L59" s="225">
        <f t="shared" si="29"/>
        <v>0.8486455004</v>
      </c>
      <c r="M59" s="225">
        <f t="shared" si="29"/>
        <v>0.7914668118</v>
      </c>
      <c r="N59" s="225">
        <f t="shared" si="29"/>
        <v>0.8127676986</v>
      </c>
      <c r="O59" s="225">
        <f t="shared" si="29"/>
        <v>0.8342823975</v>
      </c>
      <c r="P59" s="154"/>
      <c r="Q59" s="154"/>
      <c r="R59" s="154"/>
      <c r="S59" s="154"/>
      <c r="T59" s="154"/>
      <c r="U59" s="154"/>
      <c r="V59" s="154"/>
      <c r="W59" s="154"/>
      <c r="X59" s="154"/>
      <c r="Y59" s="154"/>
      <c r="Z59" s="154"/>
    </row>
    <row r="60" ht="12.75" customHeight="1">
      <c r="A60" s="197">
        <v>8.0</v>
      </c>
      <c r="B60" s="198" t="s">
        <v>387</v>
      </c>
      <c r="C60" s="197" t="s">
        <v>379</v>
      </c>
      <c r="D60" s="225">
        <f t="shared" ref="D60:O60" si="30">+D19/D18</f>
        <v>0.868584181</v>
      </c>
      <c r="E60" s="225">
        <f t="shared" si="30"/>
        <v>0.8278087647</v>
      </c>
      <c r="F60" s="225">
        <f t="shared" si="30"/>
        <v>0.8401492026</v>
      </c>
      <c r="G60" s="225">
        <f t="shared" si="30"/>
        <v>0.8568803319</v>
      </c>
      <c r="H60" s="225">
        <f t="shared" si="30"/>
        <v>0.8225508805</v>
      </c>
      <c r="I60" s="225">
        <f t="shared" si="30"/>
        <v>1.42797982</v>
      </c>
      <c r="J60" s="225">
        <f t="shared" si="30"/>
        <v>0.7256572528</v>
      </c>
      <c r="K60" s="224">
        <f t="shared" si="30"/>
        <v>0.8116235783</v>
      </c>
      <c r="L60" s="225">
        <f t="shared" si="30"/>
        <v>0.796833882</v>
      </c>
      <c r="M60" s="225">
        <f t="shared" si="30"/>
        <v>0.809948549</v>
      </c>
      <c r="N60" s="225">
        <f t="shared" si="30"/>
        <v>0.8246281737</v>
      </c>
      <c r="O60" s="225">
        <f t="shared" si="30"/>
        <v>0.8332949984</v>
      </c>
      <c r="P60" s="154"/>
      <c r="Q60" s="154"/>
      <c r="R60" s="154"/>
      <c r="S60" s="154"/>
      <c r="T60" s="154"/>
      <c r="U60" s="154"/>
      <c r="V60" s="154"/>
      <c r="W60" s="154"/>
      <c r="X60" s="154"/>
      <c r="Y60" s="154"/>
      <c r="Z60" s="154"/>
    </row>
    <row r="61" ht="12.75" customHeight="1">
      <c r="A61" s="192">
        <v>9.0</v>
      </c>
      <c r="B61" s="193" t="s">
        <v>388</v>
      </c>
      <c r="C61" s="192" t="s">
        <v>379</v>
      </c>
      <c r="D61" s="225">
        <f t="shared" ref="D61:O61" si="31">+D21/D20</f>
        <v>0.7916176009</v>
      </c>
      <c r="E61" s="225">
        <f t="shared" si="31"/>
        <v>0.7739127456</v>
      </c>
      <c r="F61" s="225">
        <f t="shared" si="31"/>
        <v>0.8107951404</v>
      </c>
      <c r="G61" s="225">
        <f t="shared" si="31"/>
        <v>0.8708163223</v>
      </c>
      <c r="H61" s="225">
        <f t="shared" si="31"/>
        <v>0.7897968747</v>
      </c>
      <c r="I61" s="225">
        <f t="shared" si="31"/>
        <v>1.426694991</v>
      </c>
      <c r="J61" s="225">
        <f t="shared" si="31"/>
        <v>1</v>
      </c>
      <c r="K61" s="224">
        <f t="shared" si="31"/>
        <v>0.8799564254</v>
      </c>
      <c r="L61" s="225">
        <f t="shared" si="31"/>
        <v>0.8371835526</v>
      </c>
      <c r="M61" s="225">
        <f t="shared" si="31"/>
        <v>0.817576019</v>
      </c>
      <c r="N61" s="225">
        <f t="shared" si="31"/>
        <v>0.9323917852</v>
      </c>
      <c r="O61" s="225">
        <f t="shared" si="31"/>
        <v>0.9019440945</v>
      </c>
      <c r="P61" s="154"/>
      <c r="Q61" s="154"/>
      <c r="R61" s="154"/>
      <c r="S61" s="154"/>
      <c r="T61" s="154"/>
      <c r="U61" s="154"/>
      <c r="V61" s="154"/>
      <c r="W61" s="154"/>
      <c r="X61" s="154"/>
      <c r="Y61" s="154"/>
      <c r="Z61" s="154"/>
    </row>
    <row r="62" ht="12.75" customHeight="1">
      <c r="A62" s="197">
        <v>10.0</v>
      </c>
      <c r="B62" s="198" t="s">
        <v>389</v>
      </c>
      <c r="C62" s="197" t="s">
        <v>379</v>
      </c>
      <c r="D62" s="225">
        <f t="shared" ref="D62:O62" si="32">+D23/D22</f>
        <v>0.8095887986</v>
      </c>
      <c r="E62" s="225">
        <f t="shared" si="32"/>
        <v>0.7743523931</v>
      </c>
      <c r="F62" s="225">
        <f t="shared" si="32"/>
        <v>0.8271939583</v>
      </c>
      <c r="G62" s="225">
        <f t="shared" si="32"/>
        <v>0.877399628</v>
      </c>
      <c r="H62" s="225">
        <f t="shared" si="32"/>
        <v>0.7658816291</v>
      </c>
      <c r="I62" s="225">
        <f t="shared" si="32"/>
        <v>1.437972732</v>
      </c>
      <c r="J62" s="225">
        <f t="shared" si="32"/>
        <v>1</v>
      </c>
      <c r="K62" s="224">
        <f t="shared" si="32"/>
        <v>0.8746094804</v>
      </c>
      <c r="L62" s="225">
        <f t="shared" si="32"/>
        <v>0.8501769561</v>
      </c>
      <c r="M62" s="225">
        <f t="shared" si="32"/>
        <v>0.8800662145</v>
      </c>
      <c r="N62" s="225">
        <f t="shared" si="32"/>
        <v>0.9359959609</v>
      </c>
      <c r="O62" s="225">
        <f t="shared" si="32"/>
        <v>0.9204456202</v>
      </c>
      <c r="P62" s="154"/>
      <c r="Q62" s="154"/>
      <c r="R62" s="154"/>
      <c r="S62" s="154"/>
      <c r="T62" s="154"/>
      <c r="U62" s="154"/>
      <c r="V62" s="154"/>
      <c r="W62" s="154"/>
      <c r="X62" s="154"/>
      <c r="Y62" s="154"/>
      <c r="Z62" s="154"/>
    </row>
    <row r="63" ht="12.75" customHeight="1">
      <c r="A63" s="192">
        <v>11.0</v>
      </c>
      <c r="B63" s="193" t="s">
        <v>390</v>
      </c>
      <c r="C63" s="192" t="s">
        <v>379</v>
      </c>
      <c r="D63" s="225">
        <f t="shared" ref="D63:O63" si="33">+D25/D24</f>
        <v>0.8489623407</v>
      </c>
      <c r="E63" s="225">
        <f t="shared" si="33"/>
        <v>0.8492780185</v>
      </c>
      <c r="F63" s="225">
        <f t="shared" si="33"/>
        <v>0.8721337735</v>
      </c>
      <c r="G63" s="225">
        <f t="shared" si="33"/>
        <v>0.8678982496</v>
      </c>
      <c r="H63" s="225">
        <f t="shared" si="33"/>
        <v>0.7671522247</v>
      </c>
      <c r="I63" s="225">
        <f t="shared" si="33"/>
        <v>1.400716203</v>
      </c>
      <c r="J63" s="225">
        <f t="shared" si="33"/>
        <v>0.7944477632</v>
      </c>
      <c r="K63" s="224">
        <f t="shared" si="33"/>
        <v>0.9174854195</v>
      </c>
      <c r="L63" s="225">
        <f t="shared" si="33"/>
        <v>0.8814320045</v>
      </c>
      <c r="M63" s="225">
        <f t="shared" si="33"/>
        <v>0.8190310065</v>
      </c>
      <c r="N63" s="225">
        <f t="shared" si="33"/>
        <v>0.9460991904</v>
      </c>
      <c r="O63" s="225">
        <f t="shared" si="33"/>
        <v>0.9048382898</v>
      </c>
      <c r="P63" s="154"/>
      <c r="Q63" s="154"/>
      <c r="R63" s="154"/>
      <c r="S63" s="154"/>
      <c r="T63" s="154"/>
      <c r="U63" s="154"/>
      <c r="V63" s="154"/>
      <c r="W63" s="154"/>
      <c r="X63" s="154"/>
      <c r="Y63" s="154"/>
      <c r="Z63" s="154"/>
    </row>
    <row r="64" ht="12.75" customHeight="1">
      <c r="A64" s="197">
        <v>12.0</v>
      </c>
      <c r="B64" s="198" t="s">
        <v>391</v>
      </c>
      <c r="C64" s="197" t="s">
        <v>379</v>
      </c>
      <c r="D64" s="225">
        <f t="shared" ref="D64:O64" si="34">+D27/D26</f>
        <v>0.8414665416</v>
      </c>
      <c r="E64" s="225">
        <f t="shared" si="34"/>
        <v>0.8141662016</v>
      </c>
      <c r="F64" s="225">
        <f t="shared" si="34"/>
        <v>0.8359368505</v>
      </c>
      <c r="G64" s="225">
        <f t="shared" si="34"/>
        <v>0.8524937157</v>
      </c>
      <c r="H64" s="225">
        <f t="shared" si="34"/>
        <v>0.8076488428</v>
      </c>
      <c r="I64" s="225">
        <f t="shared" si="34"/>
        <v>1.630139653</v>
      </c>
      <c r="J64" s="225">
        <f t="shared" si="34"/>
        <v>0.9686770288</v>
      </c>
      <c r="K64" s="224">
        <f t="shared" si="34"/>
        <v>0.9229633996</v>
      </c>
      <c r="L64" s="225">
        <f t="shared" si="34"/>
        <v>0.8991357414</v>
      </c>
      <c r="M64" s="225">
        <f t="shared" si="34"/>
        <v>0.7894315645</v>
      </c>
      <c r="N64" s="225">
        <f t="shared" si="34"/>
        <v>0.8381303083</v>
      </c>
      <c r="O64" s="225">
        <f t="shared" si="34"/>
        <v>0.8477554248</v>
      </c>
      <c r="P64" s="154"/>
      <c r="Q64" s="154"/>
      <c r="R64" s="154"/>
      <c r="S64" s="154"/>
      <c r="T64" s="154"/>
      <c r="U64" s="154"/>
      <c r="V64" s="154"/>
      <c r="W64" s="154"/>
      <c r="X64" s="154"/>
      <c r="Y64" s="154"/>
      <c r="Z64" s="154"/>
    </row>
    <row r="65" ht="12.75" customHeight="1">
      <c r="A65" s="192">
        <v>13.0</v>
      </c>
      <c r="B65" s="193" t="s">
        <v>392</v>
      </c>
      <c r="C65" s="192" t="s">
        <v>379</v>
      </c>
      <c r="D65" s="225">
        <f t="shared" ref="D65:O65" si="35">+D29/D28</f>
        <v>0.8497082672</v>
      </c>
      <c r="E65" s="225">
        <f t="shared" si="35"/>
        <v>0.8173766372</v>
      </c>
      <c r="F65" s="225">
        <f t="shared" si="35"/>
        <v>0.8425593404</v>
      </c>
      <c r="G65" s="225">
        <f t="shared" si="35"/>
        <v>0.8569506804</v>
      </c>
      <c r="H65" s="225">
        <f t="shared" si="35"/>
        <v>0.7972079276</v>
      </c>
      <c r="I65" s="225">
        <f t="shared" si="35"/>
        <v>1.505917759</v>
      </c>
      <c r="J65" s="225">
        <f t="shared" si="35"/>
        <v>0.843302966</v>
      </c>
      <c r="K65" s="224">
        <f t="shared" si="35"/>
        <v>0.8604224433</v>
      </c>
      <c r="L65" s="225">
        <f t="shared" si="35"/>
        <v>0.8488717538</v>
      </c>
      <c r="M65" s="225">
        <f t="shared" si="35"/>
        <v>0.8077007467</v>
      </c>
      <c r="N65" s="225">
        <f t="shared" si="35"/>
        <v>0.83305324</v>
      </c>
      <c r="O65" s="225">
        <f t="shared" si="35"/>
        <v>0.8493222655</v>
      </c>
      <c r="P65" s="154"/>
      <c r="Q65" s="154"/>
      <c r="R65" s="154"/>
      <c r="S65" s="154"/>
      <c r="T65" s="154"/>
      <c r="U65" s="154"/>
      <c r="V65" s="154"/>
      <c r="W65" s="154"/>
      <c r="X65" s="154"/>
      <c r="Y65" s="154"/>
      <c r="Z65" s="154"/>
    </row>
    <row r="66" ht="12.75" customHeight="1">
      <c r="A66" s="197">
        <v>14.0</v>
      </c>
      <c r="B66" s="198" t="s">
        <v>393</v>
      </c>
      <c r="C66" s="197" t="s">
        <v>379</v>
      </c>
      <c r="D66" s="225">
        <f t="shared" ref="D66:O66" si="36">+D31/D30</f>
        <v>0.8662014911</v>
      </c>
      <c r="E66" s="225">
        <f t="shared" si="36"/>
        <v>0.8305280616</v>
      </c>
      <c r="F66" s="225">
        <f t="shared" si="36"/>
        <v>0.8456416125</v>
      </c>
      <c r="G66" s="225">
        <f t="shared" si="36"/>
        <v>0.8585034669</v>
      </c>
      <c r="H66" s="225">
        <f t="shared" si="36"/>
        <v>0.8150930148</v>
      </c>
      <c r="I66" s="225">
        <f t="shared" si="36"/>
        <v>1.423327911</v>
      </c>
      <c r="J66" s="225">
        <f t="shared" si="36"/>
        <v>0.7344488062</v>
      </c>
      <c r="K66" s="224">
        <f t="shared" si="36"/>
        <v>0.8260718151</v>
      </c>
      <c r="L66" s="225">
        <f t="shared" si="36"/>
        <v>0.8075844416</v>
      </c>
      <c r="M66" s="225">
        <f t="shared" si="36"/>
        <v>0.8112608157</v>
      </c>
      <c r="N66" s="225">
        <f t="shared" si="36"/>
        <v>0.8460836458</v>
      </c>
      <c r="O66" s="225">
        <f t="shared" si="36"/>
        <v>0.8446798656</v>
      </c>
      <c r="P66" s="154"/>
      <c r="Q66" s="154"/>
      <c r="R66" s="154"/>
      <c r="S66" s="154"/>
      <c r="T66" s="154"/>
      <c r="U66" s="154"/>
      <c r="V66" s="154"/>
      <c r="W66" s="154"/>
      <c r="X66" s="154"/>
      <c r="Y66" s="154"/>
      <c r="Z66" s="154"/>
    </row>
    <row r="67" ht="12.75" customHeight="1">
      <c r="A67" s="192">
        <v>15.0</v>
      </c>
      <c r="B67" s="193" t="s">
        <v>394</v>
      </c>
      <c r="C67" s="228" t="s">
        <v>379</v>
      </c>
      <c r="D67" s="225">
        <f t="shared" ref="D67:O67" si="37">+D33/D32</f>
        <v>0.8511681048</v>
      </c>
      <c r="E67" s="225">
        <f t="shared" si="37"/>
        <v>0.8205625028</v>
      </c>
      <c r="F67" s="225">
        <f t="shared" si="37"/>
        <v>0.8409049435</v>
      </c>
      <c r="G67" s="225">
        <f t="shared" si="37"/>
        <v>0.8556515272</v>
      </c>
      <c r="H67" s="225">
        <f t="shared" si="37"/>
        <v>0.8077193646</v>
      </c>
      <c r="I67" s="225">
        <f t="shared" si="37"/>
        <v>1.524172456</v>
      </c>
      <c r="J67" s="225">
        <f t="shared" si="37"/>
        <v>0.852775756</v>
      </c>
      <c r="K67" s="224">
        <f t="shared" si="37"/>
        <v>0.8733072445</v>
      </c>
      <c r="L67" s="225">
        <f t="shared" si="37"/>
        <v>0.8554080766</v>
      </c>
      <c r="M67" s="225">
        <f t="shared" si="37"/>
        <v>0.801696961</v>
      </c>
      <c r="N67" s="225">
        <f t="shared" si="37"/>
        <v>0.8395727753</v>
      </c>
      <c r="O67" s="225">
        <f t="shared" si="37"/>
        <v>0.8470647476</v>
      </c>
      <c r="P67" s="154"/>
      <c r="Q67" s="154"/>
      <c r="R67" s="154"/>
      <c r="S67" s="154"/>
      <c r="T67" s="154"/>
      <c r="U67" s="154"/>
      <c r="V67" s="154"/>
      <c r="W67" s="154"/>
      <c r="X67" s="154"/>
      <c r="Y67" s="154"/>
      <c r="Z67" s="154"/>
    </row>
    <row r="68" ht="12.75" hidden="1" customHeight="1">
      <c r="A68" s="197">
        <v>16.0</v>
      </c>
      <c r="B68" s="198" t="s">
        <v>395</v>
      </c>
      <c r="C68" s="197" t="s">
        <v>379</v>
      </c>
      <c r="D68" s="229">
        <f t="shared" ref="D68:O68" si="38">+D13/D10</f>
        <v>0</v>
      </c>
      <c r="E68" s="229">
        <f t="shared" si="38"/>
        <v>0</v>
      </c>
      <c r="F68" s="229">
        <f t="shared" si="38"/>
        <v>0</v>
      </c>
      <c r="G68" s="229">
        <f t="shared" si="38"/>
        <v>0</v>
      </c>
      <c r="H68" s="229">
        <f t="shared" si="38"/>
        <v>0</v>
      </c>
      <c r="I68" s="229">
        <f t="shared" si="38"/>
        <v>0</v>
      </c>
      <c r="J68" s="229">
        <f t="shared" si="38"/>
        <v>0</v>
      </c>
      <c r="K68" s="229">
        <f t="shared" si="38"/>
        <v>0</v>
      </c>
      <c r="L68" s="229">
        <f t="shared" si="38"/>
        <v>0</v>
      </c>
      <c r="M68" s="229">
        <f t="shared" si="38"/>
        <v>0</v>
      </c>
      <c r="N68" s="229">
        <f t="shared" si="38"/>
        <v>0</v>
      </c>
      <c r="O68" s="229">
        <f t="shared" si="38"/>
        <v>0</v>
      </c>
      <c r="P68" s="154"/>
      <c r="Q68" s="154"/>
      <c r="R68" s="154"/>
      <c r="S68" s="154"/>
      <c r="T68" s="154"/>
      <c r="U68" s="154"/>
      <c r="V68" s="154"/>
      <c r="W68" s="154"/>
      <c r="X68" s="154"/>
      <c r="Y68" s="154"/>
      <c r="Z68" s="154"/>
    </row>
    <row r="69" ht="12.75" hidden="1" customHeight="1">
      <c r="A69" s="192">
        <v>17.0</v>
      </c>
      <c r="B69" s="193" t="s">
        <v>396</v>
      </c>
      <c r="C69" s="192" t="s">
        <v>379</v>
      </c>
      <c r="D69" s="230">
        <f t="shared" ref="D69:O69" si="39">+D11-D12-D13</f>
        <v>15227</v>
      </c>
      <c r="E69" s="230">
        <f t="shared" si="39"/>
        <v>11350</v>
      </c>
      <c r="F69" s="230">
        <f t="shared" si="39"/>
        <v>11733</v>
      </c>
      <c r="G69" s="230">
        <f t="shared" si="39"/>
        <v>13361</v>
      </c>
      <c r="H69" s="230">
        <f t="shared" si="39"/>
        <v>12477</v>
      </c>
      <c r="I69" s="230">
        <f t="shared" si="39"/>
        <v>11498</v>
      </c>
      <c r="J69" s="230">
        <f t="shared" si="39"/>
        <v>14640</v>
      </c>
      <c r="K69" s="230">
        <f t="shared" si="39"/>
        <v>12312</v>
      </c>
      <c r="L69" s="230">
        <f t="shared" si="39"/>
        <v>13259</v>
      </c>
      <c r="M69" s="230">
        <f t="shared" si="39"/>
        <v>10271</v>
      </c>
      <c r="N69" s="230">
        <f t="shared" si="39"/>
        <v>12630</v>
      </c>
      <c r="O69" s="230">
        <f t="shared" si="39"/>
        <v>11200</v>
      </c>
      <c r="P69" s="154"/>
      <c r="Q69" s="154"/>
      <c r="R69" s="154"/>
      <c r="S69" s="154"/>
      <c r="T69" s="154"/>
      <c r="U69" s="154"/>
      <c r="V69" s="154"/>
      <c r="W69" s="154"/>
      <c r="X69" s="154"/>
      <c r="Y69" s="154"/>
      <c r="Z69" s="154"/>
    </row>
    <row r="70" ht="12.75" customHeight="1">
      <c r="A70" s="186"/>
      <c r="B70" s="187" t="s">
        <v>397</v>
      </c>
      <c r="C70" s="187"/>
      <c r="D70" s="205">
        <f t="shared" ref="D70:O70" si="40">+(D9-D10)/D6</f>
        <v>1.456718879</v>
      </c>
      <c r="E70" s="205">
        <f t="shared" si="40"/>
        <v>2.076033058</v>
      </c>
      <c r="F70" s="205">
        <f t="shared" si="40"/>
        <v>3.11827957</v>
      </c>
      <c r="G70" s="205">
        <f t="shared" si="40"/>
        <v>3.10177706</v>
      </c>
      <c r="H70" s="205">
        <f t="shared" si="40"/>
        <v>4.622349103</v>
      </c>
      <c r="I70" s="205">
        <f t="shared" si="40"/>
        <v>6.354501608</v>
      </c>
      <c r="J70" s="205">
        <f t="shared" si="40"/>
        <v>0.8991331757</v>
      </c>
      <c r="K70" s="205">
        <f t="shared" si="40"/>
        <v>2.054140127</v>
      </c>
      <c r="L70" s="205">
        <f t="shared" si="40"/>
        <v>1.847133758</v>
      </c>
      <c r="M70" s="205">
        <f t="shared" si="40"/>
        <v>4.6</v>
      </c>
      <c r="N70" s="205">
        <f t="shared" si="40"/>
        <v>2.15059761</v>
      </c>
      <c r="O70" s="205">
        <f t="shared" si="40"/>
        <v>3.672440945</v>
      </c>
      <c r="P70" s="154"/>
      <c r="Q70" s="154"/>
      <c r="R70" s="154"/>
      <c r="S70" s="154"/>
      <c r="T70" s="154"/>
      <c r="U70" s="154"/>
      <c r="V70" s="154"/>
      <c r="W70" s="154"/>
      <c r="X70" s="154"/>
      <c r="Y70" s="154"/>
      <c r="Z70" s="154"/>
    </row>
    <row r="71" ht="12.75" hidden="1" customHeight="1">
      <c r="A71" s="186"/>
      <c r="B71" s="231" t="s">
        <v>398</v>
      </c>
      <c r="D71" s="232"/>
      <c r="J71" s="154"/>
      <c r="K71" s="154"/>
      <c r="L71" s="154"/>
      <c r="M71" s="154"/>
      <c r="N71" s="154"/>
      <c r="O71" s="154"/>
      <c r="P71" s="154"/>
      <c r="Q71" s="154"/>
      <c r="R71" s="154"/>
      <c r="S71" s="154"/>
      <c r="T71" s="154"/>
      <c r="U71" s="154"/>
      <c r="V71" s="154"/>
      <c r="W71" s="154"/>
      <c r="X71" s="154"/>
      <c r="Y71" s="154"/>
      <c r="Z71" s="154"/>
    </row>
    <row r="72" ht="12.75" hidden="1" customHeight="1">
      <c r="A72" s="186"/>
      <c r="B72" s="187"/>
      <c r="C72" s="187"/>
      <c r="D72" s="154"/>
      <c r="E72" s="154"/>
      <c r="F72" s="154"/>
      <c r="G72" s="154"/>
      <c r="H72" s="154"/>
      <c r="I72" s="154"/>
      <c r="J72" s="154"/>
      <c r="K72" s="154"/>
      <c r="L72" s="154"/>
      <c r="M72" s="154"/>
      <c r="N72" s="154"/>
      <c r="O72" s="154"/>
      <c r="P72" s="154"/>
      <c r="Q72" s="154"/>
      <c r="R72" s="154"/>
      <c r="S72" s="154"/>
      <c r="T72" s="154"/>
      <c r="U72" s="154"/>
      <c r="V72" s="154"/>
      <c r="W72" s="154"/>
      <c r="X72" s="154"/>
      <c r="Y72" s="154"/>
      <c r="Z72" s="154"/>
    </row>
    <row r="73" ht="12.75" hidden="1" customHeight="1">
      <c r="A73" s="186"/>
      <c r="B73" s="187"/>
      <c r="C73" s="187"/>
      <c r="D73" s="154"/>
      <c r="E73" s="154"/>
      <c r="F73" s="154"/>
      <c r="G73" s="154"/>
      <c r="H73" s="154"/>
      <c r="I73" s="154"/>
      <c r="J73" s="154"/>
      <c r="K73" s="154"/>
      <c r="L73" s="154"/>
      <c r="M73" s="154"/>
      <c r="N73" s="154"/>
      <c r="O73" s="154"/>
      <c r="P73" s="154"/>
      <c r="Q73" s="154"/>
      <c r="R73" s="154"/>
      <c r="S73" s="154"/>
      <c r="T73" s="154"/>
      <c r="U73" s="154"/>
      <c r="V73" s="154"/>
      <c r="W73" s="154"/>
      <c r="X73" s="154"/>
      <c r="Y73" s="154"/>
      <c r="Z73" s="154"/>
    </row>
    <row r="74" ht="12.75" hidden="1" customHeight="1">
      <c r="A74" s="186"/>
      <c r="B74" s="187"/>
      <c r="C74" s="187"/>
      <c r="D74" s="154"/>
      <c r="E74" s="154"/>
      <c r="F74" s="154"/>
      <c r="G74" s="154"/>
      <c r="H74" s="154"/>
      <c r="I74" s="154"/>
      <c r="J74" s="154"/>
      <c r="K74" s="154"/>
      <c r="L74" s="154"/>
      <c r="M74" s="154"/>
      <c r="N74" s="154"/>
      <c r="O74" s="154"/>
      <c r="P74" s="154"/>
      <c r="Q74" s="154"/>
      <c r="R74" s="154"/>
      <c r="S74" s="154"/>
      <c r="T74" s="154"/>
      <c r="U74" s="154"/>
      <c r="V74" s="154"/>
      <c r="W74" s="154"/>
      <c r="X74" s="154"/>
      <c r="Y74" s="154"/>
      <c r="Z74" s="154"/>
    </row>
    <row r="75" ht="12.75" hidden="1" customHeight="1">
      <c r="A75" s="186"/>
      <c r="B75" s="187"/>
      <c r="C75" s="187"/>
      <c r="D75" s="154"/>
      <c r="E75" s="154"/>
      <c r="F75" s="154"/>
      <c r="G75" s="154"/>
      <c r="H75" s="154"/>
      <c r="I75" s="154"/>
      <c r="J75" s="154"/>
      <c r="K75" s="154"/>
      <c r="L75" s="154"/>
      <c r="M75" s="154"/>
      <c r="N75" s="154"/>
      <c r="O75" s="154"/>
      <c r="P75" s="154"/>
      <c r="Q75" s="154"/>
      <c r="R75" s="154"/>
      <c r="S75" s="154"/>
      <c r="T75" s="154"/>
      <c r="U75" s="154"/>
      <c r="V75" s="154"/>
      <c r="W75" s="154"/>
      <c r="X75" s="154"/>
      <c r="Y75" s="154"/>
      <c r="Z75" s="154"/>
    </row>
    <row r="76" ht="12.75" hidden="1" customHeight="1">
      <c r="A76" s="186"/>
      <c r="B76" s="187"/>
      <c r="C76" s="187"/>
      <c r="D76" s="154"/>
      <c r="E76" s="154"/>
      <c r="F76" s="154"/>
      <c r="G76" s="154"/>
      <c r="H76" s="154"/>
      <c r="I76" s="154"/>
      <c r="J76" s="154"/>
      <c r="K76" s="154"/>
      <c r="L76" s="154"/>
      <c r="M76" s="154"/>
      <c r="N76" s="154"/>
      <c r="O76" s="154"/>
      <c r="P76" s="154"/>
      <c r="Q76" s="154"/>
      <c r="R76" s="154"/>
      <c r="S76" s="154"/>
      <c r="T76" s="154"/>
      <c r="U76" s="154"/>
      <c r="V76" s="154"/>
      <c r="W76" s="154"/>
      <c r="X76" s="154"/>
      <c r="Y76" s="154"/>
      <c r="Z76" s="154"/>
    </row>
    <row r="77" ht="12.75" hidden="1" customHeight="1">
      <c r="A77" s="186"/>
      <c r="B77" s="187"/>
      <c r="C77" s="187"/>
      <c r="D77" s="154"/>
      <c r="E77" s="154"/>
      <c r="F77" s="154"/>
      <c r="G77" s="154"/>
      <c r="H77" s="154"/>
      <c r="I77" s="154"/>
      <c r="J77" s="154"/>
      <c r="K77" s="154"/>
      <c r="L77" s="154"/>
      <c r="M77" s="154"/>
      <c r="N77" s="154"/>
      <c r="O77" s="154"/>
      <c r="P77" s="154"/>
      <c r="Q77" s="154"/>
      <c r="R77" s="154"/>
      <c r="S77" s="154"/>
      <c r="T77" s="154"/>
      <c r="U77" s="154"/>
      <c r="V77" s="154"/>
      <c r="W77" s="154"/>
      <c r="X77" s="154"/>
      <c r="Y77" s="154"/>
      <c r="Z77" s="154"/>
    </row>
    <row r="78" ht="12.75" hidden="1" customHeight="1">
      <c r="A78" s="186"/>
      <c r="B78" s="187"/>
      <c r="C78" s="187"/>
      <c r="D78" s="154"/>
      <c r="E78" s="154"/>
      <c r="F78" s="154"/>
      <c r="G78" s="154"/>
      <c r="H78" s="154"/>
      <c r="I78" s="154"/>
      <c r="J78" s="154"/>
      <c r="K78" s="154"/>
      <c r="L78" s="154"/>
      <c r="M78" s="154"/>
      <c r="N78" s="154"/>
      <c r="O78" s="154"/>
      <c r="P78" s="154"/>
      <c r="Q78" s="154"/>
      <c r="R78" s="154"/>
      <c r="S78" s="154"/>
      <c r="T78" s="154"/>
      <c r="U78" s="154"/>
      <c r="V78" s="154"/>
      <c r="W78" s="154"/>
      <c r="X78" s="154"/>
      <c r="Y78" s="154"/>
      <c r="Z78" s="154"/>
    </row>
    <row r="79" ht="12.75" hidden="1" customHeight="1">
      <c r="A79" s="186"/>
      <c r="B79" s="187"/>
      <c r="C79" s="187"/>
      <c r="D79" s="154"/>
      <c r="E79" s="154"/>
      <c r="F79" s="154"/>
      <c r="G79" s="154"/>
      <c r="H79" s="154"/>
      <c r="I79" s="154"/>
      <c r="J79" s="154"/>
      <c r="K79" s="154"/>
      <c r="L79" s="154"/>
      <c r="M79" s="154"/>
      <c r="N79" s="154"/>
      <c r="O79" s="154"/>
      <c r="P79" s="154"/>
      <c r="Q79" s="154"/>
      <c r="R79" s="154"/>
      <c r="S79" s="154"/>
      <c r="T79" s="154"/>
      <c r="U79" s="154"/>
      <c r="V79" s="154"/>
      <c r="W79" s="154"/>
      <c r="X79" s="154"/>
      <c r="Y79" s="154"/>
      <c r="Z79" s="154"/>
    </row>
    <row r="80" ht="12.75" hidden="1" customHeight="1">
      <c r="A80" s="186"/>
      <c r="B80" s="187"/>
      <c r="C80" s="187"/>
      <c r="D80" s="154"/>
      <c r="E80" s="154"/>
      <c r="F80" s="154"/>
      <c r="G80" s="154"/>
      <c r="H80" s="154"/>
      <c r="I80" s="154"/>
      <c r="J80" s="154"/>
      <c r="K80" s="154"/>
      <c r="L80" s="154"/>
      <c r="M80" s="154"/>
      <c r="N80" s="154"/>
      <c r="O80" s="154"/>
      <c r="P80" s="154"/>
      <c r="Q80" s="154"/>
      <c r="R80" s="154"/>
      <c r="S80" s="154"/>
      <c r="T80" s="154"/>
      <c r="U80" s="154"/>
      <c r="V80" s="154"/>
      <c r="W80" s="154"/>
      <c r="X80" s="154"/>
      <c r="Y80" s="154"/>
      <c r="Z80" s="154"/>
    </row>
    <row r="81" ht="12.75" hidden="1" customHeight="1">
      <c r="A81" s="186"/>
      <c r="B81" s="187"/>
      <c r="C81" s="187"/>
      <c r="D81" s="154"/>
      <c r="E81" s="154"/>
      <c r="F81" s="154"/>
      <c r="G81" s="154"/>
      <c r="H81" s="154"/>
      <c r="I81" s="154"/>
      <c r="J81" s="154"/>
      <c r="K81" s="154"/>
      <c r="L81" s="154"/>
      <c r="M81" s="154"/>
      <c r="N81" s="154"/>
      <c r="O81" s="154"/>
      <c r="P81" s="154"/>
      <c r="Q81" s="154"/>
      <c r="R81" s="154"/>
      <c r="S81" s="154"/>
      <c r="T81" s="154"/>
      <c r="U81" s="154"/>
      <c r="V81" s="154"/>
      <c r="W81" s="154"/>
      <c r="X81" s="154"/>
      <c r="Y81" s="154"/>
      <c r="Z81" s="154"/>
    </row>
    <row r="82" ht="12.75" hidden="1" customHeight="1">
      <c r="A82" s="186"/>
      <c r="B82" s="187"/>
      <c r="C82" s="187"/>
      <c r="D82" s="154"/>
      <c r="E82" s="154"/>
      <c r="F82" s="154"/>
      <c r="G82" s="154"/>
      <c r="H82" s="154"/>
      <c r="I82" s="154"/>
      <c r="J82" s="154"/>
      <c r="K82" s="154"/>
      <c r="L82" s="154"/>
      <c r="M82" s="154"/>
      <c r="N82" s="154"/>
      <c r="O82" s="154"/>
      <c r="P82" s="154"/>
      <c r="Q82" s="154"/>
      <c r="R82" s="154"/>
      <c r="S82" s="154"/>
      <c r="T82" s="154"/>
      <c r="U82" s="154"/>
      <c r="V82" s="154"/>
      <c r="W82" s="154"/>
      <c r="X82" s="154"/>
      <c r="Y82" s="154"/>
      <c r="Z82" s="154"/>
    </row>
    <row r="83" ht="12.75" hidden="1" customHeight="1">
      <c r="A83" s="186"/>
      <c r="B83" s="187"/>
      <c r="C83" s="187"/>
      <c r="D83" s="154"/>
      <c r="E83" s="154"/>
      <c r="F83" s="154"/>
      <c r="G83" s="154"/>
      <c r="H83" s="154"/>
      <c r="I83" s="154"/>
      <c r="J83" s="154"/>
      <c r="K83" s="154"/>
      <c r="L83" s="154"/>
      <c r="M83" s="154"/>
      <c r="N83" s="154"/>
      <c r="O83" s="154"/>
      <c r="P83" s="154"/>
      <c r="Q83" s="154"/>
      <c r="R83" s="154"/>
      <c r="S83" s="154"/>
      <c r="T83" s="154"/>
      <c r="U83" s="154"/>
      <c r="V83" s="154"/>
      <c r="W83" s="154"/>
      <c r="X83" s="154"/>
      <c r="Y83" s="154"/>
      <c r="Z83" s="154"/>
    </row>
    <row r="84" ht="12.75" hidden="1" customHeight="1">
      <c r="A84" s="186"/>
      <c r="B84" s="187"/>
      <c r="C84" s="187"/>
      <c r="D84" s="154"/>
      <c r="E84" s="154"/>
      <c r="F84" s="154"/>
      <c r="G84" s="154"/>
      <c r="H84" s="154"/>
      <c r="I84" s="154"/>
      <c r="J84" s="154"/>
      <c r="K84" s="154"/>
      <c r="L84" s="154"/>
      <c r="M84" s="154"/>
      <c r="N84" s="154"/>
      <c r="O84" s="154"/>
      <c r="P84" s="154"/>
      <c r="Q84" s="154"/>
      <c r="R84" s="154"/>
      <c r="S84" s="154"/>
      <c r="T84" s="154"/>
      <c r="U84" s="154"/>
      <c r="V84" s="154"/>
      <c r="W84" s="154"/>
      <c r="X84" s="154"/>
      <c r="Y84" s="154"/>
      <c r="Z84" s="154"/>
    </row>
    <row r="85" ht="12.75" hidden="1" customHeight="1">
      <c r="A85" s="186"/>
      <c r="B85" s="187"/>
      <c r="C85" s="187"/>
      <c r="D85" s="154"/>
      <c r="E85" s="154"/>
      <c r="F85" s="154"/>
      <c r="G85" s="154"/>
      <c r="H85" s="154"/>
      <c r="I85" s="154"/>
      <c r="J85" s="154"/>
      <c r="K85" s="154"/>
      <c r="L85" s="154"/>
      <c r="M85" s="154"/>
      <c r="N85" s="154"/>
      <c r="O85" s="154"/>
      <c r="P85" s="154"/>
      <c r="Q85" s="154"/>
      <c r="R85" s="154"/>
      <c r="S85" s="154"/>
      <c r="T85" s="154"/>
      <c r="U85" s="154"/>
      <c r="V85" s="154"/>
      <c r="W85" s="154"/>
      <c r="X85" s="154"/>
      <c r="Y85" s="154"/>
      <c r="Z85" s="154"/>
    </row>
    <row r="86" ht="12.75" hidden="1" customHeight="1">
      <c r="A86" s="186"/>
      <c r="B86" s="187"/>
      <c r="C86" s="187"/>
      <c r="D86" s="154"/>
      <c r="E86" s="154"/>
      <c r="F86" s="154"/>
      <c r="G86" s="154"/>
      <c r="H86" s="154"/>
      <c r="I86" s="154"/>
      <c r="J86" s="154"/>
      <c r="K86" s="154"/>
      <c r="L86" s="154"/>
      <c r="M86" s="154"/>
      <c r="N86" s="154"/>
      <c r="O86" s="154"/>
      <c r="P86" s="154"/>
      <c r="Q86" s="154"/>
      <c r="R86" s="154"/>
      <c r="S86" s="154"/>
      <c r="T86" s="154"/>
      <c r="U86" s="154"/>
      <c r="V86" s="154"/>
      <c r="W86" s="154"/>
      <c r="X86" s="154"/>
      <c r="Y86" s="154"/>
      <c r="Z86" s="154"/>
    </row>
    <row r="87" ht="12.75" hidden="1" customHeight="1">
      <c r="A87" s="186"/>
      <c r="B87" s="232" t="s">
        <v>399</v>
      </c>
      <c r="D87" s="154"/>
      <c r="E87" s="154"/>
      <c r="F87" s="154"/>
      <c r="G87" s="154"/>
      <c r="H87" s="154"/>
      <c r="I87" s="154"/>
      <c r="J87" s="154"/>
      <c r="K87" s="154"/>
      <c r="L87" s="154"/>
      <c r="M87" s="154"/>
      <c r="N87" s="154"/>
      <c r="O87" s="154"/>
      <c r="P87" s="154"/>
      <c r="Q87" s="154"/>
      <c r="R87" s="154"/>
      <c r="S87" s="154"/>
      <c r="T87" s="154"/>
      <c r="U87" s="154"/>
      <c r="V87" s="154"/>
      <c r="W87" s="154"/>
      <c r="X87" s="154"/>
      <c r="Y87" s="154"/>
      <c r="Z87" s="154"/>
    </row>
    <row r="88" ht="12.75" hidden="1" customHeight="1">
      <c r="A88" s="186"/>
      <c r="B88" s="187"/>
      <c r="C88" s="187"/>
      <c r="D88" s="154"/>
      <c r="E88" s="154"/>
      <c r="F88" s="154"/>
      <c r="G88" s="154"/>
      <c r="H88" s="154"/>
      <c r="I88" s="154"/>
      <c r="J88" s="154"/>
      <c r="K88" s="154"/>
      <c r="L88" s="154"/>
      <c r="M88" s="154"/>
      <c r="N88" s="154"/>
      <c r="O88" s="154"/>
      <c r="P88" s="154"/>
      <c r="Q88" s="154"/>
      <c r="R88" s="154"/>
      <c r="S88" s="154"/>
      <c r="T88" s="154"/>
      <c r="U88" s="154"/>
      <c r="V88" s="154"/>
      <c r="W88" s="154"/>
      <c r="X88" s="154"/>
      <c r="Y88" s="154"/>
      <c r="Z88" s="154"/>
    </row>
    <row r="89" ht="12.75" hidden="1" customHeight="1">
      <c r="A89" s="186"/>
      <c r="B89" s="187"/>
      <c r="C89" s="187"/>
      <c r="D89" s="154"/>
      <c r="E89" s="154"/>
      <c r="F89" s="154"/>
      <c r="G89" s="154"/>
      <c r="H89" s="154"/>
      <c r="I89" s="154"/>
      <c r="J89" s="154"/>
      <c r="K89" s="154"/>
      <c r="L89" s="154"/>
      <c r="M89" s="154"/>
      <c r="N89" s="154"/>
      <c r="O89" s="154"/>
      <c r="P89" s="154"/>
      <c r="Q89" s="154"/>
      <c r="R89" s="154"/>
      <c r="S89" s="154"/>
      <c r="T89" s="154"/>
      <c r="U89" s="154"/>
      <c r="V89" s="154"/>
      <c r="W89" s="154"/>
      <c r="X89" s="154"/>
      <c r="Y89" s="154"/>
      <c r="Z89" s="154"/>
    </row>
    <row r="90" ht="12.75" hidden="1" customHeight="1">
      <c r="A90" s="186"/>
      <c r="B90" s="187"/>
      <c r="C90" s="187"/>
      <c r="D90" s="154"/>
      <c r="E90" s="154"/>
      <c r="F90" s="154"/>
      <c r="G90" s="154"/>
      <c r="H90" s="154"/>
      <c r="I90" s="154"/>
      <c r="J90" s="154"/>
      <c r="K90" s="154"/>
      <c r="L90" s="154"/>
      <c r="M90" s="154"/>
      <c r="N90" s="154"/>
      <c r="O90" s="154"/>
      <c r="P90" s="154"/>
      <c r="Q90" s="154"/>
      <c r="R90" s="154"/>
      <c r="S90" s="154"/>
      <c r="T90" s="154"/>
      <c r="U90" s="154"/>
      <c r="V90" s="154"/>
      <c r="W90" s="154"/>
      <c r="X90" s="154"/>
      <c r="Y90" s="154"/>
      <c r="Z90" s="154"/>
    </row>
    <row r="91" ht="12.75" hidden="1" customHeight="1">
      <c r="A91" s="186"/>
      <c r="B91" s="187"/>
      <c r="C91" s="187"/>
      <c r="D91" s="154"/>
      <c r="E91" s="154"/>
      <c r="F91" s="154"/>
      <c r="G91" s="154"/>
      <c r="H91" s="154"/>
      <c r="I91" s="154"/>
      <c r="J91" s="154"/>
      <c r="K91" s="154"/>
      <c r="L91" s="154"/>
      <c r="M91" s="154"/>
      <c r="N91" s="154"/>
      <c r="O91" s="154"/>
      <c r="P91" s="154"/>
      <c r="Q91" s="154"/>
      <c r="R91" s="154"/>
      <c r="S91" s="154"/>
      <c r="T91" s="154"/>
      <c r="U91" s="154"/>
      <c r="V91" s="154"/>
      <c r="W91" s="154"/>
      <c r="X91" s="154"/>
      <c r="Y91" s="154"/>
      <c r="Z91" s="154"/>
    </row>
    <row r="92" ht="12.75" hidden="1" customHeight="1">
      <c r="A92" s="186"/>
      <c r="B92" s="187"/>
      <c r="C92" s="187"/>
      <c r="D92" s="154"/>
      <c r="E92" s="154"/>
      <c r="F92" s="154"/>
      <c r="G92" s="154"/>
      <c r="H92" s="154"/>
      <c r="I92" s="154"/>
      <c r="J92" s="154"/>
      <c r="K92" s="154"/>
      <c r="L92" s="154"/>
      <c r="M92" s="154"/>
      <c r="N92" s="154"/>
      <c r="O92" s="154"/>
      <c r="P92" s="154"/>
      <c r="Q92" s="154"/>
      <c r="R92" s="154"/>
      <c r="S92" s="154"/>
      <c r="T92" s="154"/>
      <c r="U92" s="154"/>
      <c r="V92" s="154"/>
      <c r="W92" s="154"/>
      <c r="X92" s="154"/>
      <c r="Y92" s="154"/>
      <c r="Z92" s="154"/>
    </row>
    <row r="93" ht="12.75" hidden="1" customHeight="1">
      <c r="A93" s="186"/>
      <c r="B93" s="187"/>
      <c r="C93" s="187"/>
      <c r="D93" s="154"/>
      <c r="E93" s="154"/>
      <c r="F93" s="154"/>
      <c r="G93" s="154"/>
      <c r="H93" s="154"/>
      <c r="I93" s="154"/>
      <c r="J93" s="154"/>
      <c r="K93" s="154"/>
      <c r="L93" s="154"/>
      <c r="M93" s="154"/>
      <c r="N93" s="154"/>
      <c r="O93" s="154"/>
      <c r="P93" s="154"/>
      <c r="Q93" s="154"/>
      <c r="R93" s="154"/>
      <c r="S93" s="154"/>
      <c r="T93" s="154"/>
      <c r="U93" s="154"/>
      <c r="V93" s="154"/>
      <c r="W93" s="154"/>
      <c r="X93" s="154"/>
      <c r="Y93" s="154"/>
      <c r="Z93" s="154"/>
    </row>
    <row r="94" ht="14.25" hidden="1" customHeight="1">
      <c r="A94" s="186"/>
      <c r="B94" s="187"/>
      <c r="C94" s="187"/>
      <c r="D94" s="154"/>
      <c r="E94" s="154"/>
      <c r="F94" s="154"/>
      <c r="G94" s="154"/>
      <c r="H94" s="154"/>
      <c r="I94" s="154"/>
      <c r="J94" s="154"/>
      <c r="K94" s="154"/>
      <c r="L94" s="154"/>
      <c r="M94" s="154"/>
      <c r="N94" s="154"/>
      <c r="O94" s="154"/>
      <c r="P94" s="154"/>
      <c r="Q94" s="154"/>
      <c r="R94" s="154"/>
      <c r="S94" s="154"/>
      <c r="T94" s="154"/>
      <c r="U94" s="154"/>
      <c r="V94" s="154"/>
      <c r="W94" s="154"/>
      <c r="X94" s="154"/>
      <c r="Y94" s="154"/>
      <c r="Z94" s="154"/>
    </row>
    <row r="95" ht="12.75" customHeight="1">
      <c r="A95" s="186"/>
      <c r="B95" s="187"/>
      <c r="C95" s="187"/>
      <c r="D95" s="154"/>
      <c r="E95" s="154"/>
      <c r="F95" s="154"/>
      <c r="G95" s="154"/>
      <c r="H95" s="154"/>
      <c r="I95" s="154"/>
      <c r="J95" s="154"/>
      <c r="K95" s="154"/>
      <c r="L95" s="154"/>
      <c r="M95" s="154"/>
      <c r="N95" s="154"/>
      <c r="O95" s="154"/>
      <c r="P95" s="154"/>
      <c r="Q95" s="154"/>
      <c r="R95" s="154"/>
      <c r="S95" s="154"/>
      <c r="T95" s="154"/>
      <c r="U95" s="154"/>
      <c r="V95" s="154"/>
      <c r="W95" s="154"/>
      <c r="X95" s="154"/>
      <c r="Y95" s="154"/>
      <c r="Z95" s="154"/>
    </row>
    <row r="96" ht="12.75" hidden="1" customHeight="1">
      <c r="A96" s="186"/>
      <c r="B96" s="187"/>
      <c r="C96" s="187"/>
      <c r="D96" s="154"/>
      <c r="E96" s="154"/>
      <c r="F96" s="154"/>
      <c r="G96" s="154"/>
      <c r="H96" s="154"/>
      <c r="I96" s="154"/>
      <c r="J96" s="154"/>
      <c r="K96" s="154"/>
      <c r="L96" s="154"/>
      <c r="M96" s="154"/>
      <c r="N96" s="154"/>
      <c r="O96" s="154"/>
      <c r="P96" s="154"/>
      <c r="Q96" s="154"/>
      <c r="R96" s="154"/>
      <c r="S96" s="154"/>
      <c r="T96" s="154"/>
      <c r="U96" s="154"/>
      <c r="V96" s="154"/>
      <c r="W96" s="154"/>
      <c r="X96" s="154"/>
      <c r="Y96" s="154"/>
      <c r="Z96" s="154"/>
    </row>
    <row r="97" ht="12.75" hidden="1" customHeight="1">
      <c r="A97" s="186"/>
      <c r="B97" s="187"/>
      <c r="C97" s="187"/>
      <c r="D97" s="154"/>
      <c r="E97" s="154"/>
      <c r="F97" s="154"/>
      <c r="G97" s="154"/>
      <c r="H97" s="154"/>
      <c r="I97" s="154"/>
      <c r="J97" s="154"/>
      <c r="K97" s="154"/>
      <c r="L97" s="154"/>
      <c r="M97" s="154"/>
      <c r="N97" s="154"/>
      <c r="O97" s="154"/>
      <c r="P97" s="154"/>
      <c r="Q97" s="154"/>
      <c r="R97" s="154"/>
      <c r="S97" s="154"/>
      <c r="T97" s="154"/>
      <c r="U97" s="154"/>
      <c r="V97" s="154"/>
      <c r="W97" s="154"/>
      <c r="X97" s="154"/>
      <c r="Y97" s="154"/>
      <c r="Z97" s="154"/>
    </row>
    <row r="98" ht="12.75" hidden="1" customHeight="1">
      <c r="A98" s="186"/>
      <c r="B98" s="187"/>
      <c r="C98" s="187"/>
      <c r="D98" s="154"/>
      <c r="E98" s="154"/>
      <c r="F98" s="154"/>
      <c r="G98" s="154"/>
      <c r="H98" s="154"/>
      <c r="I98" s="154"/>
      <c r="J98" s="154"/>
      <c r="K98" s="154"/>
      <c r="L98" s="154"/>
      <c r="M98" s="154"/>
      <c r="N98" s="154"/>
      <c r="O98" s="154"/>
      <c r="P98" s="154"/>
      <c r="Q98" s="154"/>
      <c r="R98" s="154"/>
      <c r="S98" s="154"/>
      <c r="T98" s="154"/>
      <c r="U98" s="154"/>
      <c r="V98" s="154"/>
      <c r="W98" s="154"/>
      <c r="X98" s="154"/>
      <c r="Y98" s="154"/>
      <c r="Z98" s="154"/>
    </row>
    <row r="99" ht="12.75" hidden="1" customHeight="1">
      <c r="A99" s="186"/>
      <c r="B99" s="187"/>
      <c r="C99" s="187"/>
      <c r="D99" s="154"/>
      <c r="E99" s="154"/>
      <c r="F99" s="154"/>
      <c r="G99" s="154"/>
      <c r="H99" s="154"/>
      <c r="I99" s="154"/>
      <c r="J99" s="154"/>
      <c r="K99" s="154"/>
      <c r="L99" s="154"/>
      <c r="M99" s="154"/>
      <c r="N99" s="154"/>
      <c r="O99" s="154"/>
      <c r="P99" s="154"/>
      <c r="Q99" s="154"/>
      <c r="R99" s="154"/>
      <c r="S99" s="154"/>
      <c r="T99" s="154"/>
      <c r="U99" s="154"/>
      <c r="V99" s="154"/>
      <c r="W99" s="154"/>
      <c r="X99" s="154"/>
      <c r="Y99" s="154"/>
      <c r="Z99" s="154"/>
    </row>
    <row r="100" ht="12.75" hidden="1" customHeight="1">
      <c r="A100" s="186"/>
      <c r="B100" s="187"/>
      <c r="C100" s="187"/>
      <c r="D100" s="154"/>
      <c r="E100" s="154"/>
      <c r="F100" s="154"/>
      <c r="G100" s="154"/>
      <c r="H100" s="154"/>
      <c r="I100" s="154"/>
      <c r="J100" s="154"/>
      <c r="K100" s="154"/>
      <c r="L100" s="154"/>
      <c r="M100" s="154"/>
      <c r="N100" s="154"/>
      <c r="O100" s="154"/>
      <c r="P100" s="154"/>
      <c r="Q100" s="154"/>
      <c r="R100" s="154"/>
      <c r="S100" s="154"/>
      <c r="T100" s="154"/>
      <c r="U100" s="154"/>
      <c r="V100" s="154"/>
      <c r="W100" s="154"/>
      <c r="X100" s="154"/>
      <c r="Y100" s="154"/>
      <c r="Z100" s="154"/>
    </row>
    <row r="101" ht="12.75" hidden="1" customHeight="1">
      <c r="A101" s="186"/>
      <c r="B101" s="187"/>
      <c r="C101" s="187"/>
      <c r="D101" s="154"/>
      <c r="E101" s="154"/>
      <c r="F101" s="154"/>
      <c r="G101" s="154"/>
      <c r="H101" s="154"/>
      <c r="I101" s="154"/>
      <c r="J101" s="154"/>
      <c r="K101" s="154"/>
      <c r="L101" s="154"/>
      <c r="M101" s="154"/>
      <c r="N101" s="154"/>
      <c r="O101" s="154"/>
      <c r="P101" s="154"/>
      <c r="Q101" s="154"/>
      <c r="R101" s="154"/>
      <c r="S101" s="154"/>
      <c r="T101" s="154"/>
      <c r="U101" s="154"/>
      <c r="V101" s="154"/>
      <c r="W101" s="154"/>
      <c r="X101" s="154"/>
      <c r="Y101" s="154"/>
      <c r="Z101" s="154"/>
    </row>
    <row r="102" ht="12.75" hidden="1" customHeight="1">
      <c r="A102" s="186"/>
      <c r="B102" s="187"/>
      <c r="C102" s="187"/>
      <c r="D102" s="154"/>
      <c r="E102" s="154"/>
      <c r="F102" s="154"/>
      <c r="G102" s="154"/>
      <c r="H102" s="154"/>
      <c r="I102" s="154"/>
      <c r="J102" s="154"/>
      <c r="K102" s="154"/>
      <c r="L102" s="154"/>
      <c r="M102" s="154"/>
      <c r="N102" s="154"/>
      <c r="O102" s="154"/>
      <c r="P102" s="154"/>
      <c r="Q102" s="154"/>
      <c r="R102" s="154"/>
      <c r="S102" s="154"/>
      <c r="T102" s="154"/>
      <c r="U102" s="154"/>
      <c r="V102" s="154"/>
      <c r="W102" s="154"/>
      <c r="X102" s="154"/>
      <c r="Y102" s="154"/>
      <c r="Z102" s="154"/>
    </row>
    <row r="103" ht="12.75" hidden="1" customHeight="1">
      <c r="A103" s="186"/>
      <c r="B103" s="187"/>
      <c r="C103" s="187"/>
      <c r="D103" s="154"/>
      <c r="E103" s="154"/>
      <c r="F103" s="154"/>
      <c r="G103" s="154"/>
      <c r="H103" s="154"/>
      <c r="I103" s="154"/>
      <c r="J103" s="154"/>
      <c r="K103" s="154"/>
      <c r="L103" s="154"/>
      <c r="M103" s="154"/>
      <c r="N103" s="154"/>
      <c r="O103" s="154"/>
      <c r="P103" s="154"/>
      <c r="Q103" s="154"/>
      <c r="R103" s="154"/>
      <c r="S103" s="154"/>
      <c r="T103" s="154"/>
      <c r="U103" s="154"/>
      <c r="V103" s="154"/>
      <c r="W103" s="154"/>
      <c r="X103" s="154"/>
      <c r="Y103" s="154"/>
      <c r="Z103" s="154"/>
    </row>
    <row r="104" ht="12.75" hidden="1" customHeight="1">
      <c r="A104" s="186"/>
      <c r="B104" s="187"/>
      <c r="C104" s="187"/>
      <c r="D104" s="154"/>
      <c r="E104" s="154"/>
      <c r="F104" s="154"/>
      <c r="G104" s="154"/>
      <c r="H104" s="154"/>
      <c r="I104" s="154"/>
      <c r="J104" s="154"/>
      <c r="K104" s="154"/>
      <c r="L104" s="154"/>
      <c r="M104" s="154"/>
      <c r="N104" s="154"/>
      <c r="O104" s="154"/>
      <c r="P104" s="154"/>
      <c r="Q104" s="154"/>
      <c r="R104" s="154"/>
      <c r="S104" s="154"/>
      <c r="T104" s="154"/>
      <c r="U104" s="154"/>
      <c r="V104" s="154"/>
      <c r="W104" s="154"/>
      <c r="X104" s="154"/>
      <c r="Y104" s="154"/>
      <c r="Z104" s="154"/>
    </row>
    <row r="105" ht="12.75" hidden="1" customHeight="1">
      <c r="A105" s="186"/>
      <c r="B105" s="187"/>
      <c r="C105" s="187"/>
      <c r="D105" s="154"/>
      <c r="E105" s="154"/>
      <c r="F105" s="154"/>
      <c r="G105" s="154"/>
      <c r="H105" s="154"/>
      <c r="I105" s="154"/>
      <c r="J105" s="154"/>
      <c r="K105" s="154"/>
      <c r="L105" s="154"/>
      <c r="M105" s="154"/>
      <c r="N105" s="154"/>
      <c r="O105" s="154"/>
      <c r="P105" s="154"/>
      <c r="Q105" s="154"/>
      <c r="R105" s="154"/>
      <c r="S105" s="154"/>
      <c r="T105" s="154"/>
      <c r="U105" s="154"/>
      <c r="V105" s="154"/>
      <c r="W105" s="154"/>
      <c r="X105" s="154"/>
      <c r="Y105" s="154"/>
      <c r="Z105" s="154"/>
    </row>
    <row r="106" ht="12.75" hidden="1" customHeight="1">
      <c r="A106" s="186"/>
      <c r="B106" s="187"/>
      <c r="C106" s="187"/>
      <c r="D106" s="154"/>
      <c r="E106" s="154"/>
      <c r="F106" s="154"/>
      <c r="G106" s="154"/>
      <c r="H106" s="154"/>
      <c r="I106" s="154"/>
      <c r="J106" s="154"/>
      <c r="K106" s="154"/>
      <c r="L106" s="154"/>
      <c r="M106" s="154"/>
      <c r="N106" s="154"/>
      <c r="O106" s="154"/>
      <c r="P106" s="154"/>
      <c r="Q106" s="154"/>
      <c r="R106" s="154"/>
      <c r="S106" s="154"/>
      <c r="T106" s="154"/>
      <c r="U106" s="154"/>
      <c r="V106" s="154"/>
      <c r="W106" s="154"/>
      <c r="X106" s="154"/>
      <c r="Y106" s="154"/>
      <c r="Z106" s="154"/>
    </row>
    <row r="107" ht="12.75" hidden="1" customHeight="1">
      <c r="A107" s="186"/>
      <c r="B107" s="187"/>
      <c r="C107" s="187"/>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row>
    <row r="108" ht="12.75" hidden="1" customHeight="1">
      <c r="A108" s="186"/>
      <c r="B108" s="187"/>
      <c r="C108" s="187"/>
      <c r="D108" s="154"/>
      <c r="E108" s="154"/>
      <c r="F108" s="154"/>
      <c r="G108" s="154"/>
      <c r="H108" s="154"/>
      <c r="I108" s="154"/>
      <c r="J108" s="154"/>
      <c r="K108" s="154"/>
      <c r="L108" s="154"/>
      <c r="M108" s="154"/>
      <c r="N108" s="154"/>
      <c r="O108" s="154"/>
      <c r="P108" s="154"/>
      <c r="Q108" s="154"/>
      <c r="R108" s="154"/>
      <c r="S108" s="154"/>
      <c r="T108" s="154"/>
      <c r="U108" s="154"/>
      <c r="V108" s="154"/>
      <c r="W108" s="154"/>
      <c r="X108" s="154"/>
      <c r="Y108" s="154"/>
      <c r="Z108" s="154"/>
    </row>
    <row r="109" ht="12.75" hidden="1" customHeight="1">
      <c r="A109" s="186"/>
      <c r="B109" s="187"/>
      <c r="C109" s="187"/>
      <c r="D109" s="154"/>
      <c r="E109" s="154"/>
      <c r="F109" s="154"/>
      <c r="G109" s="154"/>
      <c r="H109" s="154"/>
      <c r="I109" s="154"/>
      <c r="J109" s="154"/>
      <c r="K109" s="154"/>
      <c r="L109" s="154"/>
      <c r="M109" s="154"/>
      <c r="N109" s="154"/>
      <c r="O109" s="154"/>
      <c r="P109" s="154"/>
      <c r="Q109" s="154"/>
      <c r="R109" s="154"/>
      <c r="S109" s="154"/>
      <c r="T109" s="154"/>
      <c r="U109" s="154"/>
      <c r="V109" s="154"/>
      <c r="W109" s="154"/>
      <c r="X109" s="154"/>
      <c r="Y109" s="154"/>
      <c r="Z109" s="154"/>
    </row>
    <row r="110" ht="12.75" hidden="1" customHeight="1">
      <c r="A110" s="186"/>
      <c r="B110" s="187"/>
      <c r="C110" s="187"/>
      <c r="D110" s="154"/>
      <c r="E110" s="154"/>
      <c r="F110" s="154"/>
      <c r="G110" s="154"/>
      <c r="H110" s="154"/>
      <c r="I110" s="154"/>
      <c r="J110" s="154"/>
      <c r="K110" s="154"/>
      <c r="L110" s="154"/>
      <c r="M110" s="154"/>
      <c r="N110" s="154"/>
      <c r="O110" s="154"/>
      <c r="P110" s="154"/>
      <c r="Q110" s="154"/>
      <c r="R110" s="154"/>
      <c r="S110" s="154"/>
      <c r="T110" s="154"/>
      <c r="U110" s="154"/>
      <c r="V110" s="154"/>
      <c r="W110" s="154"/>
      <c r="X110" s="154"/>
      <c r="Y110" s="154"/>
      <c r="Z110" s="154"/>
    </row>
    <row r="111" ht="12.75" hidden="1" customHeight="1">
      <c r="A111" s="186"/>
      <c r="B111" s="187"/>
      <c r="C111" s="187"/>
      <c r="D111" s="154"/>
      <c r="E111" s="154"/>
      <c r="F111" s="154"/>
      <c r="G111" s="154"/>
      <c r="H111" s="154"/>
      <c r="I111" s="154"/>
      <c r="J111" s="154"/>
      <c r="K111" s="154"/>
      <c r="L111" s="154"/>
      <c r="M111" s="154"/>
      <c r="N111" s="154"/>
      <c r="O111" s="154"/>
      <c r="P111" s="154"/>
      <c r="Q111" s="154"/>
      <c r="R111" s="154"/>
      <c r="S111" s="154"/>
      <c r="T111" s="154"/>
      <c r="U111" s="154"/>
      <c r="V111" s="154"/>
      <c r="W111" s="154"/>
      <c r="X111" s="154"/>
      <c r="Y111" s="154"/>
      <c r="Z111" s="154"/>
    </row>
    <row r="112" ht="12.75" hidden="1" customHeight="1">
      <c r="A112" s="186"/>
      <c r="B112" s="187"/>
      <c r="C112" s="187"/>
      <c r="D112" s="154"/>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row>
    <row r="113" ht="12.75" hidden="1" customHeight="1">
      <c r="A113" s="186"/>
      <c r="B113" s="187"/>
      <c r="C113" s="187"/>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row>
    <row r="114" ht="12.75" hidden="1" customHeight="1">
      <c r="A114" s="186"/>
      <c r="B114" s="187"/>
      <c r="C114" s="187"/>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row>
    <row r="115" ht="12.75" hidden="1" customHeight="1">
      <c r="A115" s="186"/>
      <c r="B115" s="187"/>
      <c r="C115" s="187"/>
      <c r="D115" s="154"/>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row>
    <row r="116" ht="12.75" hidden="1" customHeight="1">
      <c r="A116" s="186"/>
      <c r="B116" s="187"/>
      <c r="C116" s="187"/>
      <c r="D116" s="154"/>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row>
    <row r="117" ht="12.75" hidden="1" customHeight="1">
      <c r="A117" s="186"/>
      <c r="B117" s="187"/>
      <c r="C117" s="187"/>
      <c r="D117" s="154"/>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row>
    <row r="118" ht="12.75" hidden="1" customHeight="1">
      <c r="A118" s="186"/>
      <c r="B118" s="187"/>
      <c r="C118" s="187"/>
      <c r="D118" s="154"/>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row>
    <row r="119" ht="12.75" hidden="1" customHeight="1">
      <c r="A119" s="186"/>
      <c r="B119" s="187"/>
      <c r="C119" s="187"/>
      <c r="D119" s="154"/>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row>
    <row r="120" ht="12.75" hidden="1" customHeight="1">
      <c r="A120" s="186"/>
      <c r="B120" s="187"/>
      <c r="C120" s="187"/>
      <c r="D120" s="154"/>
      <c r="E120" s="154"/>
      <c r="F120" s="154"/>
      <c r="G120" s="154"/>
      <c r="H120" s="154"/>
      <c r="I120" s="154"/>
      <c r="J120" s="154"/>
      <c r="K120" s="154"/>
      <c r="L120" s="154"/>
      <c r="M120" s="154"/>
      <c r="N120" s="154"/>
      <c r="O120" s="154"/>
      <c r="P120" s="154"/>
      <c r="Q120" s="154"/>
      <c r="R120" s="154"/>
      <c r="S120" s="154"/>
      <c r="T120" s="154"/>
      <c r="U120" s="154"/>
      <c r="V120" s="154"/>
      <c r="W120" s="154"/>
      <c r="X120" s="154"/>
      <c r="Y120" s="154"/>
      <c r="Z120" s="154"/>
    </row>
    <row r="121" ht="12.75" hidden="1" customHeight="1">
      <c r="A121" s="186"/>
      <c r="B121" s="187"/>
      <c r="C121" s="187"/>
      <c r="D121" s="154"/>
      <c r="E121" s="154"/>
      <c r="F121" s="154"/>
      <c r="G121" s="154"/>
      <c r="H121" s="154"/>
      <c r="I121" s="154"/>
      <c r="J121" s="154"/>
      <c r="K121" s="154"/>
      <c r="L121" s="154"/>
      <c r="M121" s="154"/>
      <c r="N121" s="154"/>
      <c r="O121" s="154"/>
      <c r="P121" s="154"/>
      <c r="Q121" s="154"/>
      <c r="R121" s="154"/>
      <c r="S121" s="154"/>
      <c r="T121" s="154"/>
      <c r="U121" s="154"/>
      <c r="V121" s="154"/>
      <c r="W121" s="154"/>
      <c r="X121" s="154"/>
      <c r="Y121" s="154"/>
      <c r="Z121" s="154"/>
    </row>
    <row r="122" ht="12.75" hidden="1" customHeight="1">
      <c r="A122" s="186"/>
      <c r="B122" s="187"/>
      <c r="C122" s="187"/>
      <c r="D122" s="154"/>
      <c r="E122" s="154"/>
      <c r="F122" s="154"/>
      <c r="G122" s="154"/>
      <c r="H122" s="154"/>
      <c r="I122" s="154"/>
      <c r="J122" s="154"/>
      <c r="K122" s="154"/>
      <c r="L122" s="154"/>
      <c r="M122" s="154"/>
      <c r="N122" s="154"/>
      <c r="O122" s="154"/>
      <c r="P122" s="154"/>
      <c r="Q122" s="154"/>
      <c r="R122" s="154"/>
      <c r="S122" s="154"/>
      <c r="T122" s="154"/>
      <c r="U122" s="154"/>
      <c r="V122" s="154"/>
      <c r="W122" s="154"/>
      <c r="X122" s="154"/>
      <c r="Y122" s="154"/>
      <c r="Z122" s="154"/>
    </row>
    <row r="123" ht="12.75" hidden="1" customHeight="1">
      <c r="A123" s="186"/>
      <c r="B123" s="187"/>
      <c r="C123" s="187"/>
      <c r="D123" s="154"/>
      <c r="E123" s="154"/>
      <c r="F123" s="154"/>
      <c r="G123" s="154"/>
      <c r="H123" s="154"/>
      <c r="I123" s="154"/>
      <c r="J123" s="154"/>
      <c r="K123" s="154"/>
      <c r="L123" s="154"/>
      <c r="M123" s="154"/>
      <c r="N123" s="154"/>
      <c r="O123" s="154"/>
      <c r="P123" s="154"/>
      <c r="Q123" s="154"/>
      <c r="R123" s="154"/>
      <c r="S123" s="154"/>
      <c r="T123" s="154"/>
      <c r="U123" s="154"/>
      <c r="V123" s="154"/>
      <c r="W123" s="154"/>
      <c r="X123" s="154"/>
      <c r="Y123" s="154"/>
      <c r="Z123" s="154"/>
    </row>
    <row r="124" ht="12.75" hidden="1" customHeight="1">
      <c r="A124" s="186"/>
      <c r="B124" s="187"/>
      <c r="C124" s="187"/>
      <c r="D124" s="154"/>
      <c r="E124" s="154"/>
      <c r="F124" s="154"/>
      <c r="G124" s="154"/>
      <c r="H124" s="154"/>
      <c r="I124" s="154"/>
      <c r="J124" s="154"/>
      <c r="K124" s="154"/>
      <c r="L124" s="154"/>
      <c r="M124" s="154"/>
      <c r="N124" s="154"/>
      <c r="O124" s="154"/>
      <c r="P124" s="154"/>
      <c r="Q124" s="154"/>
      <c r="R124" s="154"/>
      <c r="S124" s="154"/>
      <c r="T124" s="154"/>
      <c r="U124" s="154"/>
      <c r="V124" s="154"/>
      <c r="W124" s="154"/>
      <c r="X124" s="154"/>
      <c r="Y124" s="154"/>
      <c r="Z124" s="154"/>
    </row>
    <row r="125" ht="12.75" hidden="1" customHeight="1">
      <c r="A125" s="186"/>
      <c r="B125" s="187"/>
      <c r="C125" s="187"/>
      <c r="D125" s="154"/>
      <c r="E125" s="154"/>
      <c r="F125" s="154"/>
      <c r="G125" s="154"/>
      <c r="H125" s="154"/>
      <c r="I125" s="154"/>
      <c r="J125" s="154"/>
      <c r="K125" s="154"/>
      <c r="L125" s="154"/>
      <c r="M125" s="154"/>
      <c r="N125" s="154"/>
      <c r="O125" s="154"/>
      <c r="P125" s="154"/>
      <c r="Q125" s="154"/>
      <c r="R125" s="154"/>
      <c r="S125" s="154"/>
      <c r="T125" s="154"/>
      <c r="U125" s="154"/>
      <c r="V125" s="154"/>
      <c r="W125" s="154"/>
      <c r="X125" s="154"/>
      <c r="Y125" s="154"/>
      <c r="Z125" s="154"/>
    </row>
    <row r="126" ht="12.75" hidden="1" customHeight="1">
      <c r="A126" s="186"/>
      <c r="B126" s="187"/>
      <c r="C126" s="187"/>
      <c r="D126" s="154"/>
      <c r="E126" s="154"/>
      <c r="F126" s="154"/>
      <c r="G126" s="154"/>
      <c r="H126" s="154"/>
      <c r="I126" s="154"/>
      <c r="J126" s="154"/>
      <c r="K126" s="154"/>
      <c r="L126" s="154"/>
      <c r="M126" s="154"/>
      <c r="N126" s="154"/>
      <c r="O126" s="154"/>
      <c r="P126" s="154"/>
      <c r="Q126" s="154"/>
      <c r="R126" s="154"/>
      <c r="S126" s="154"/>
      <c r="T126" s="154"/>
      <c r="U126" s="154"/>
      <c r="V126" s="154"/>
      <c r="W126" s="154"/>
      <c r="X126" s="154"/>
      <c r="Y126" s="154"/>
      <c r="Z126" s="154"/>
    </row>
    <row r="127" ht="12.75" hidden="1" customHeight="1">
      <c r="A127" s="186"/>
      <c r="B127" s="187"/>
      <c r="C127" s="187"/>
      <c r="D127" s="154"/>
      <c r="E127" s="154"/>
      <c r="F127" s="154"/>
      <c r="G127" s="154"/>
      <c r="H127" s="154"/>
      <c r="I127" s="154"/>
      <c r="J127" s="154"/>
      <c r="K127" s="154"/>
      <c r="L127" s="154"/>
      <c r="M127" s="154"/>
      <c r="N127" s="154"/>
      <c r="O127" s="154"/>
      <c r="P127" s="154"/>
      <c r="Q127" s="154"/>
      <c r="R127" s="154"/>
      <c r="S127" s="154"/>
      <c r="T127" s="154"/>
      <c r="U127" s="154"/>
      <c r="V127" s="154"/>
      <c r="W127" s="154"/>
      <c r="X127" s="154"/>
      <c r="Y127" s="154"/>
      <c r="Z127" s="154"/>
    </row>
    <row r="128" ht="12.75" hidden="1" customHeight="1">
      <c r="A128" s="186"/>
      <c r="B128" s="187"/>
      <c r="C128" s="187"/>
      <c r="D128" s="154"/>
      <c r="E128" s="154"/>
      <c r="F128" s="154"/>
      <c r="G128" s="154"/>
      <c r="H128" s="154"/>
      <c r="I128" s="154"/>
      <c r="J128" s="154"/>
      <c r="K128" s="154"/>
      <c r="L128" s="154"/>
      <c r="M128" s="154"/>
      <c r="N128" s="154"/>
      <c r="O128" s="154"/>
      <c r="P128" s="154"/>
      <c r="Q128" s="154"/>
      <c r="R128" s="154"/>
      <c r="S128" s="154"/>
      <c r="T128" s="154"/>
      <c r="U128" s="154"/>
      <c r="V128" s="154"/>
      <c r="W128" s="154"/>
      <c r="X128" s="154"/>
      <c r="Y128" s="154"/>
      <c r="Z128" s="154"/>
    </row>
    <row r="129" ht="12.75" hidden="1" customHeight="1">
      <c r="A129" s="186"/>
      <c r="B129" s="187"/>
      <c r="C129" s="187"/>
      <c r="D129" s="154"/>
      <c r="E129" s="154"/>
      <c r="F129" s="154"/>
      <c r="G129" s="154"/>
      <c r="H129" s="154"/>
      <c r="I129" s="154"/>
      <c r="J129" s="154"/>
      <c r="K129" s="154"/>
      <c r="L129" s="154"/>
      <c r="M129" s="154"/>
      <c r="N129" s="154"/>
      <c r="O129" s="154"/>
      <c r="P129" s="154"/>
      <c r="Q129" s="154"/>
      <c r="R129" s="154"/>
      <c r="S129" s="154"/>
      <c r="T129" s="154"/>
      <c r="U129" s="154"/>
      <c r="V129" s="154"/>
      <c r="W129" s="154"/>
      <c r="X129" s="154"/>
      <c r="Y129" s="154"/>
      <c r="Z129" s="154"/>
    </row>
    <row r="130" ht="12.75" hidden="1" customHeight="1">
      <c r="A130" s="186"/>
      <c r="B130" s="187"/>
      <c r="C130" s="187"/>
      <c r="D130" s="154"/>
      <c r="E130" s="154"/>
      <c r="F130" s="154"/>
      <c r="G130" s="154"/>
      <c r="H130" s="154"/>
      <c r="I130" s="154"/>
      <c r="J130" s="154"/>
      <c r="K130" s="154"/>
      <c r="L130" s="154"/>
      <c r="M130" s="154"/>
      <c r="N130" s="154"/>
      <c r="O130" s="154"/>
      <c r="P130" s="154"/>
      <c r="Q130" s="154"/>
      <c r="R130" s="154"/>
      <c r="S130" s="154"/>
      <c r="T130" s="154"/>
      <c r="U130" s="154"/>
      <c r="V130" s="154"/>
      <c r="W130" s="154"/>
      <c r="X130" s="154"/>
      <c r="Y130" s="154"/>
      <c r="Z130" s="154"/>
    </row>
    <row r="131" ht="12.75" hidden="1" customHeight="1">
      <c r="A131" s="186"/>
      <c r="B131" s="187"/>
      <c r="C131" s="187"/>
      <c r="D131" s="154"/>
      <c r="E131" s="154"/>
      <c r="F131" s="154"/>
      <c r="G131" s="154"/>
      <c r="H131" s="154"/>
      <c r="I131" s="154"/>
      <c r="J131" s="154"/>
      <c r="K131" s="154"/>
      <c r="L131" s="154"/>
      <c r="M131" s="154"/>
      <c r="N131" s="154"/>
      <c r="O131" s="154"/>
      <c r="P131" s="154"/>
      <c r="Q131" s="154"/>
      <c r="R131" s="154"/>
      <c r="S131" s="154"/>
      <c r="T131" s="154"/>
      <c r="U131" s="154"/>
      <c r="V131" s="154"/>
      <c r="W131" s="154"/>
      <c r="X131" s="154"/>
      <c r="Y131" s="154"/>
      <c r="Z131" s="154"/>
    </row>
    <row r="132" ht="12.75" hidden="1" customHeight="1">
      <c r="A132" s="186"/>
      <c r="B132" s="187"/>
      <c r="C132" s="187"/>
      <c r="D132" s="154"/>
      <c r="E132" s="154"/>
      <c r="F132" s="154"/>
      <c r="G132" s="154"/>
      <c r="H132" s="154"/>
      <c r="I132" s="154"/>
      <c r="J132" s="154"/>
      <c r="K132" s="154"/>
      <c r="L132" s="154"/>
      <c r="M132" s="154"/>
      <c r="N132" s="154"/>
      <c r="O132" s="154"/>
      <c r="P132" s="154"/>
      <c r="Q132" s="154"/>
      <c r="R132" s="154"/>
      <c r="S132" s="154"/>
      <c r="T132" s="154"/>
      <c r="U132" s="154"/>
      <c r="V132" s="154"/>
      <c r="W132" s="154"/>
      <c r="X132" s="154"/>
      <c r="Y132" s="154"/>
      <c r="Z132" s="154"/>
    </row>
    <row r="133" ht="12.75" hidden="1" customHeight="1">
      <c r="A133" s="186"/>
      <c r="B133" s="187"/>
      <c r="C133" s="187"/>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row>
    <row r="134" ht="12.75" hidden="1" customHeight="1">
      <c r="A134" s="186"/>
      <c r="B134" s="187"/>
      <c r="C134" s="187"/>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row>
    <row r="135" ht="12.75" hidden="1" customHeight="1">
      <c r="A135" s="186"/>
      <c r="B135" s="187"/>
      <c r="C135" s="187"/>
      <c r="D135" s="154"/>
      <c r="E135" s="154"/>
      <c r="F135" s="154"/>
      <c r="G135" s="154"/>
      <c r="H135" s="154"/>
      <c r="I135" s="154"/>
      <c r="J135" s="154"/>
      <c r="K135" s="154"/>
      <c r="L135" s="154"/>
      <c r="M135" s="154"/>
      <c r="N135" s="154"/>
      <c r="O135" s="154"/>
      <c r="P135" s="154"/>
      <c r="Q135" s="154"/>
      <c r="R135" s="154"/>
      <c r="S135" s="154"/>
      <c r="T135" s="154"/>
      <c r="U135" s="154"/>
      <c r="V135" s="154"/>
      <c r="W135" s="154"/>
      <c r="X135" s="154"/>
      <c r="Y135" s="154"/>
      <c r="Z135" s="154"/>
    </row>
    <row r="136" ht="12.75" hidden="1" customHeight="1">
      <c r="A136" s="186"/>
      <c r="B136" s="187"/>
      <c r="C136" s="187"/>
      <c r="D136" s="154"/>
      <c r="E136" s="154"/>
      <c r="F136" s="154"/>
      <c r="G136" s="154"/>
      <c r="H136" s="154"/>
      <c r="I136" s="154"/>
      <c r="J136" s="154"/>
      <c r="K136" s="154"/>
      <c r="L136" s="154"/>
      <c r="M136" s="154"/>
      <c r="N136" s="154"/>
      <c r="O136" s="154"/>
      <c r="P136" s="154"/>
      <c r="Q136" s="154"/>
      <c r="R136" s="154"/>
      <c r="S136" s="154"/>
      <c r="T136" s="154"/>
      <c r="U136" s="154"/>
      <c r="V136" s="154"/>
      <c r="W136" s="154"/>
      <c r="X136" s="154"/>
      <c r="Y136" s="154"/>
      <c r="Z136" s="154"/>
    </row>
    <row r="137" ht="12.75" hidden="1" customHeight="1">
      <c r="A137" s="186"/>
      <c r="B137" s="187"/>
      <c r="C137" s="187"/>
      <c r="D137" s="154"/>
      <c r="E137" s="154"/>
      <c r="F137" s="154"/>
      <c r="G137" s="154"/>
      <c r="H137" s="154"/>
      <c r="I137" s="154"/>
      <c r="J137" s="154"/>
      <c r="K137" s="154"/>
      <c r="L137" s="154"/>
      <c r="M137" s="154"/>
      <c r="N137" s="154"/>
      <c r="O137" s="154"/>
      <c r="P137" s="154"/>
      <c r="Q137" s="154"/>
      <c r="R137" s="154"/>
      <c r="S137" s="154"/>
      <c r="T137" s="154"/>
      <c r="U137" s="154"/>
      <c r="V137" s="154"/>
      <c r="W137" s="154"/>
      <c r="X137" s="154"/>
      <c r="Y137" s="154"/>
      <c r="Z137" s="154"/>
    </row>
    <row r="138" ht="12.75" hidden="1" customHeight="1">
      <c r="A138" s="186"/>
      <c r="B138" s="187"/>
      <c r="C138" s="187"/>
      <c r="D138" s="154"/>
      <c r="E138" s="154"/>
      <c r="F138" s="154"/>
      <c r="G138" s="154"/>
      <c r="H138" s="154"/>
      <c r="I138" s="154"/>
      <c r="J138" s="154"/>
      <c r="K138" s="154"/>
      <c r="L138" s="154"/>
      <c r="M138" s="154"/>
      <c r="N138" s="154"/>
      <c r="O138" s="154"/>
      <c r="P138" s="154"/>
      <c r="Q138" s="154"/>
      <c r="R138" s="154"/>
      <c r="S138" s="154"/>
      <c r="T138" s="154"/>
      <c r="U138" s="154"/>
      <c r="V138" s="154"/>
      <c r="W138" s="154"/>
      <c r="X138" s="154"/>
      <c r="Y138" s="154"/>
      <c r="Z138" s="154"/>
    </row>
    <row r="139" ht="12.75" hidden="1" customHeight="1">
      <c r="A139" s="186"/>
      <c r="B139" s="187"/>
      <c r="C139" s="187"/>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row>
    <row r="140" ht="12.75" hidden="1" customHeight="1">
      <c r="A140" s="186"/>
      <c r="B140" s="187"/>
      <c r="C140" s="187"/>
      <c r="D140" s="154"/>
      <c r="E140" s="154"/>
      <c r="F140" s="154"/>
      <c r="G140" s="154"/>
      <c r="H140" s="154"/>
      <c r="I140" s="154"/>
      <c r="J140" s="154"/>
      <c r="K140" s="154"/>
      <c r="L140" s="154"/>
      <c r="M140" s="154"/>
      <c r="N140" s="154"/>
      <c r="O140" s="154"/>
      <c r="P140" s="154"/>
      <c r="Q140" s="154"/>
      <c r="R140" s="154"/>
      <c r="S140" s="154"/>
      <c r="T140" s="154"/>
      <c r="U140" s="154"/>
      <c r="V140" s="154"/>
      <c r="W140" s="154"/>
      <c r="X140" s="154"/>
      <c r="Y140" s="154"/>
      <c r="Z140" s="154"/>
    </row>
    <row r="141" ht="12.75" hidden="1" customHeight="1">
      <c r="A141" s="186"/>
      <c r="B141" s="187"/>
      <c r="C141" s="187"/>
      <c r="D141" s="154"/>
      <c r="E141" s="154"/>
      <c r="F141" s="154"/>
      <c r="G141" s="154"/>
      <c r="H141" s="154"/>
      <c r="I141" s="154"/>
      <c r="J141" s="154"/>
      <c r="K141" s="154"/>
      <c r="L141" s="154"/>
      <c r="M141" s="154"/>
      <c r="N141" s="154"/>
      <c r="O141" s="154"/>
      <c r="P141" s="154"/>
      <c r="Q141" s="154"/>
      <c r="R141" s="154"/>
      <c r="S141" s="154"/>
      <c r="T141" s="154"/>
      <c r="U141" s="154"/>
      <c r="V141" s="154"/>
      <c r="W141" s="154"/>
      <c r="X141" s="154"/>
      <c r="Y141" s="154"/>
      <c r="Z141" s="154"/>
    </row>
    <row r="142" ht="12.75" hidden="1" customHeight="1">
      <c r="A142" s="186"/>
      <c r="B142" s="187"/>
      <c r="C142" s="187"/>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row>
    <row r="143" ht="12.75" hidden="1" customHeight="1">
      <c r="A143" s="186"/>
      <c r="B143" s="187"/>
      <c r="C143" s="187"/>
      <c r="D143" s="154"/>
      <c r="E143" s="154"/>
      <c r="F143" s="154"/>
      <c r="G143" s="154"/>
      <c r="H143" s="154"/>
      <c r="I143" s="154"/>
      <c r="J143" s="154"/>
      <c r="K143" s="154"/>
      <c r="L143" s="154"/>
      <c r="M143" s="154"/>
      <c r="N143" s="154"/>
      <c r="O143" s="154"/>
      <c r="P143" s="154"/>
      <c r="Q143" s="154"/>
      <c r="R143" s="154"/>
      <c r="S143" s="154"/>
      <c r="T143" s="154"/>
      <c r="U143" s="154"/>
      <c r="V143" s="154"/>
      <c r="W143" s="154"/>
      <c r="X143" s="154"/>
      <c r="Y143" s="154"/>
      <c r="Z143" s="154"/>
    </row>
    <row r="144" ht="12.75" hidden="1" customHeight="1">
      <c r="A144" s="186"/>
      <c r="B144" s="187"/>
      <c r="C144" s="187"/>
      <c r="D144" s="154"/>
      <c r="E144" s="154"/>
      <c r="F144" s="154"/>
      <c r="G144" s="154"/>
      <c r="H144" s="154"/>
      <c r="I144" s="154"/>
      <c r="J144" s="154"/>
      <c r="K144" s="154"/>
      <c r="L144" s="154"/>
      <c r="M144" s="154"/>
      <c r="N144" s="154"/>
      <c r="O144" s="154"/>
      <c r="P144" s="154"/>
      <c r="Q144" s="154"/>
      <c r="R144" s="154"/>
      <c r="S144" s="154"/>
      <c r="T144" s="154"/>
      <c r="U144" s="154"/>
      <c r="V144" s="154"/>
      <c r="W144" s="154"/>
      <c r="X144" s="154"/>
      <c r="Y144" s="154"/>
      <c r="Z144" s="154"/>
    </row>
    <row r="145" ht="12.75" hidden="1" customHeight="1">
      <c r="A145" s="186"/>
      <c r="B145" s="187"/>
      <c r="C145" s="187"/>
      <c r="D145" s="154"/>
      <c r="E145" s="154"/>
      <c r="F145" s="154"/>
      <c r="G145" s="154"/>
      <c r="H145" s="154"/>
      <c r="I145" s="154"/>
      <c r="J145" s="154"/>
      <c r="K145" s="154"/>
      <c r="L145" s="154"/>
      <c r="M145" s="154"/>
      <c r="N145" s="154"/>
      <c r="O145" s="154"/>
      <c r="P145" s="154"/>
      <c r="Q145" s="154"/>
      <c r="R145" s="154"/>
      <c r="S145" s="154"/>
      <c r="T145" s="154"/>
      <c r="U145" s="154"/>
      <c r="V145" s="154"/>
      <c r="W145" s="154"/>
      <c r="X145" s="154"/>
      <c r="Y145" s="154"/>
      <c r="Z145" s="154"/>
    </row>
    <row r="146" ht="12.75" hidden="1" customHeight="1">
      <c r="A146" s="186"/>
      <c r="B146" s="187"/>
      <c r="C146" s="187"/>
      <c r="D146" s="154"/>
      <c r="E146" s="154"/>
      <c r="F146" s="154"/>
      <c r="G146" s="154"/>
      <c r="H146" s="154"/>
      <c r="I146" s="154"/>
      <c r="J146" s="154"/>
      <c r="K146" s="154"/>
      <c r="L146" s="154"/>
      <c r="M146" s="154"/>
      <c r="N146" s="154"/>
      <c r="O146" s="154"/>
      <c r="P146" s="154"/>
      <c r="Q146" s="154"/>
      <c r="R146" s="154"/>
      <c r="S146" s="154"/>
      <c r="T146" s="154"/>
      <c r="U146" s="154"/>
      <c r="V146" s="154"/>
      <c r="W146" s="154"/>
      <c r="X146" s="154"/>
      <c r="Y146" s="154"/>
      <c r="Z146" s="154"/>
    </row>
    <row r="147" ht="12.75" hidden="1" customHeight="1">
      <c r="A147" s="186"/>
      <c r="B147" s="187"/>
      <c r="C147" s="187"/>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row>
    <row r="148" ht="12.75" hidden="1" customHeight="1">
      <c r="A148" s="186"/>
      <c r="B148" s="187"/>
      <c r="C148" s="187"/>
      <c r="D148" s="154"/>
      <c r="E148" s="154"/>
      <c r="F148" s="154"/>
      <c r="G148" s="154"/>
      <c r="H148" s="154"/>
      <c r="I148" s="154"/>
      <c r="J148" s="154"/>
      <c r="K148" s="154"/>
      <c r="L148" s="154"/>
      <c r="M148" s="154"/>
      <c r="N148" s="154"/>
      <c r="O148" s="154"/>
      <c r="P148" s="154"/>
      <c r="Q148" s="154"/>
      <c r="R148" s="154"/>
      <c r="S148" s="154"/>
      <c r="T148" s="154"/>
      <c r="U148" s="154"/>
      <c r="V148" s="154"/>
      <c r="W148" s="154"/>
      <c r="X148" s="154"/>
      <c r="Y148" s="154"/>
      <c r="Z148" s="154"/>
    </row>
    <row r="149" ht="12.75" hidden="1" customHeight="1">
      <c r="A149" s="186"/>
      <c r="B149" s="187"/>
      <c r="C149" s="187"/>
      <c r="D149" s="154"/>
      <c r="E149" s="154"/>
      <c r="F149" s="154"/>
      <c r="G149" s="154"/>
      <c r="H149" s="154"/>
      <c r="I149" s="154"/>
      <c r="J149" s="154"/>
      <c r="K149" s="154"/>
      <c r="L149" s="154"/>
      <c r="M149" s="154"/>
      <c r="N149" s="154"/>
      <c r="O149" s="154"/>
      <c r="P149" s="154"/>
      <c r="Q149" s="154"/>
      <c r="R149" s="154"/>
      <c r="S149" s="154"/>
      <c r="T149" s="154"/>
      <c r="U149" s="154"/>
      <c r="V149" s="154"/>
      <c r="W149" s="154"/>
      <c r="X149" s="154"/>
      <c r="Y149" s="154"/>
      <c r="Z149" s="154"/>
    </row>
    <row r="150" ht="12.75" hidden="1" customHeight="1">
      <c r="A150" s="186"/>
      <c r="B150" s="187"/>
      <c r="C150" s="187"/>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row>
    <row r="151" ht="12.75" hidden="1" customHeight="1">
      <c r="A151" s="186"/>
      <c r="B151" s="187"/>
      <c r="C151" s="187"/>
      <c r="D151" s="154"/>
      <c r="E151" s="154"/>
      <c r="F151" s="154"/>
      <c r="G151" s="154"/>
      <c r="H151" s="154"/>
      <c r="I151" s="154"/>
      <c r="J151" s="154"/>
      <c r="K151" s="154"/>
      <c r="L151" s="154"/>
      <c r="M151" s="154"/>
      <c r="N151" s="154"/>
      <c r="O151" s="154"/>
      <c r="P151" s="154"/>
      <c r="Q151" s="154"/>
      <c r="R151" s="154"/>
      <c r="S151" s="154"/>
      <c r="T151" s="154"/>
      <c r="U151" s="154"/>
      <c r="V151" s="154"/>
      <c r="W151" s="154"/>
      <c r="X151" s="154"/>
      <c r="Y151" s="154"/>
      <c r="Z151" s="154"/>
    </row>
    <row r="152" ht="12.75" hidden="1" customHeight="1">
      <c r="A152" s="186"/>
      <c r="B152" s="187"/>
      <c r="C152" s="187"/>
      <c r="D152" s="154"/>
      <c r="E152" s="154"/>
      <c r="F152" s="154"/>
      <c r="G152" s="154"/>
      <c r="H152" s="154"/>
      <c r="I152" s="154"/>
      <c r="J152" s="154"/>
      <c r="K152" s="154"/>
      <c r="L152" s="154"/>
      <c r="M152" s="154"/>
      <c r="N152" s="154"/>
      <c r="O152" s="154"/>
      <c r="P152" s="154"/>
      <c r="Q152" s="154"/>
      <c r="R152" s="154"/>
      <c r="S152" s="154"/>
      <c r="T152" s="154"/>
      <c r="U152" s="154"/>
      <c r="V152" s="154"/>
      <c r="W152" s="154"/>
      <c r="X152" s="154"/>
      <c r="Y152" s="154"/>
      <c r="Z152" s="154"/>
    </row>
    <row r="153" ht="12.75" hidden="1" customHeight="1">
      <c r="A153" s="186"/>
      <c r="B153" s="187"/>
      <c r="C153" s="187"/>
      <c r="D153" s="154"/>
      <c r="E153" s="154"/>
      <c r="F153" s="154"/>
      <c r="G153" s="154"/>
      <c r="H153" s="154"/>
      <c r="I153" s="154"/>
      <c r="J153" s="154"/>
      <c r="K153" s="154"/>
      <c r="L153" s="154"/>
      <c r="M153" s="154"/>
      <c r="N153" s="154"/>
      <c r="O153" s="154"/>
      <c r="P153" s="154"/>
      <c r="Q153" s="154"/>
      <c r="R153" s="154"/>
      <c r="S153" s="154"/>
      <c r="T153" s="154"/>
      <c r="U153" s="154"/>
      <c r="V153" s="154"/>
      <c r="W153" s="154"/>
      <c r="X153" s="154"/>
      <c r="Y153" s="154"/>
      <c r="Z153" s="154"/>
    </row>
    <row r="154" ht="12.75" hidden="1" customHeight="1">
      <c r="A154" s="186"/>
      <c r="B154" s="187"/>
      <c r="C154" s="187"/>
      <c r="D154" s="154"/>
      <c r="E154" s="154"/>
      <c r="F154" s="154"/>
      <c r="G154" s="154"/>
      <c r="H154" s="154"/>
      <c r="I154" s="154"/>
      <c r="J154" s="154"/>
      <c r="K154" s="154"/>
      <c r="L154" s="154"/>
      <c r="M154" s="154"/>
      <c r="N154" s="154"/>
      <c r="O154" s="154"/>
      <c r="P154" s="154"/>
      <c r="Q154" s="154"/>
      <c r="R154" s="154"/>
      <c r="S154" s="154"/>
      <c r="T154" s="154"/>
      <c r="U154" s="154"/>
      <c r="V154" s="154"/>
      <c r="W154" s="154"/>
      <c r="X154" s="154"/>
      <c r="Y154" s="154"/>
      <c r="Z154" s="154"/>
    </row>
    <row r="155" ht="12.75" hidden="1" customHeight="1">
      <c r="A155" s="186"/>
      <c r="B155" s="187"/>
      <c r="C155" s="187"/>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row>
    <row r="156" ht="12.75" hidden="1" customHeight="1">
      <c r="A156" s="186"/>
      <c r="B156" s="187"/>
      <c r="C156" s="187"/>
      <c r="D156" s="154"/>
      <c r="E156" s="154"/>
      <c r="F156" s="154"/>
      <c r="G156" s="154"/>
      <c r="H156" s="154"/>
      <c r="I156" s="154"/>
      <c r="J156" s="154"/>
      <c r="K156" s="154"/>
      <c r="L156" s="154"/>
      <c r="M156" s="154"/>
      <c r="N156" s="154"/>
      <c r="O156" s="154"/>
      <c r="P156" s="154"/>
      <c r="Q156" s="154"/>
      <c r="R156" s="154"/>
      <c r="S156" s="154"/>
      <c r="T156" s="154"/>
      <c r="U156" s="154"/>
      <c r="V156" s="154"/>
      <c r="W156" s="154"/>
      <c r="X156" s="154"/>
      <c r="Y156" s="154"/>
      <c r="Z156" s="154"/>
    </row>
    <row r="157" ht="12.75" hidden="1" customHeight="1">
      <c r="A157" s="186"/>
      <c r="B157" s="187"/>
      <c r="C157" s="187"/>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row>
    <row r="158" ht="12.75" hidden="1" customHeight="1">
      <c r="A158" s="186"/>
      <c r="B158" s="187"/>
      <c r="C158" s="187"/>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row>
    <row r="159" ht="12.75" hidden="1" customHeight="1">
      <c r="A159" s="186"/>
      <c r="B159" s="187"/>
      <c r="C159" s="187"/>
      <c r="D159" s="154"/>
      <c r="E159" s="154"/>
      <c r="F159" s="154"/>
      <c r="G159" s="154"/>
      <c r="H159" s="154"/>
      <c r="I159" s="154"/>
      <c r="J159" s="154"/>
      <c r="K159" s="154"/>
      <c r="L159" s="154"/>
      <c r="M159" s="154"/>
      <c r="N159" s="154"/>
      <c r="O159" s="154"/>
      <c r="P159" s="154"/>
      <c r="Q159" s="154"/>
      <c r="R159" s="154"/>
      <c r="S159" s="154"/>
      <c r="T159" s="154"/>
      <c r="U159" s="154"/>
      <c r="V159" s="154"/>
      <c r="W159" s="154"/>
      <c r="X159" s="154"/>
      <c r="Y159" s="154"/>
      <c r="Z159" s="154"/>
    </row>
    <row r="160" ht="12.75" hidden="1" customHeight="1">
      <c r="A160" s="186"/>
      <c r="B160" s="187"/>
      <c r="C160" s="187"/>
      <c r="D160" s="154"/>
      <c r="E160" s="154"/>
      <c r="F160" s="154"/>
      <c r="G160" s="154"/>
      <c r="H160" s="154"/>
      <c r="I160" s="154"/>
      <c r="J160" s="154"/>
      <c r="K160" s="154"/>
      <c r="L160" s="154"/>
      <c r="M160" s="154"/>
      <c r="N160" s="154"/>
      <c r="O160" s="154"/>
      <c r="P160" s="154"/>
      <c r="Q160" s="154"/>
      <c r="R160" s="154"/>
      <c r="S160" s="154"/>
      <c r="T160" s="154"/>
      <c r="U160" s="154"/>
      <c r="V160" s="154"/>
      <c r="W160" s="154"/>
      <c r="X160" s="154"/>
      <c r="Y160" s="154"/>
      <c r="Z160" s="154"/>
    </row>
    <row r="161" ht="12.75" hidden="1" customHeight="1">
      <c r="A161" s="186"/>
      <c r="B161" s="187"/>
      <c r="C161" s="187"/>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row>
    <row r="162" ht="12.75" hidden="1" customHeight="1">
      <c r="A162" s="186"/>
      <c r="B162" s="187"/>
      <c r="C162" s="187"/>
      <c r="D162" s="154"/>
      <c r="E162" s="154"/>
      <c r="F162" s="154"/>
      <c r="G162" s="154"/>
      <c r="H162" s="154"/>
      <c r="I162" s="154"/>
      <c r="J162" s="154"/>
      <c r="K162" s="154"/>
      <c r="L162" s="154"/>
      <c r="M162" s="154"/>
      <c r="N162" s="154"/>
      <c r="O162" s="154"/>
      <c r="P162" s="154"/>
      <c r="Q162" s="154"/>
      <c r="R162" s="154"/>
      <c r="S162" s="154"/>
      <c r="T162" s="154"/>
      <c r="U162" s="154"/>
      <c r="V162" s="154"/>
      <c r="W162" s="154"/>
      <c r="X162" s="154"/>
      <c r="Y162" s="154"/>
      <c r="Z162" s="154"/>
    </row>
    <row r="163" ht="12.75" hidden="1" customHeight="1">
      <c r="A163" s="186"/>
      <c r="B163" s="187"/>
      <c r="C163" s="187"/>
      <c r="D163" s="154"/>
      <c r="E163" s="154"/>
      <c r="F163" s="154"/>
      <c r="G163" s="154"/>
      <c r="H163" s="154"/>
      <c r="I163" s="154"/>
      <c r="J163" s="154"/>
      <c r="K163" s="154"/>
      <c r="L163" s="154"/>
      <c r="M163" s="154"/>
      <c r="N163" s="154"/>
      <c r="O163" s="154"/>
      <c r="P163" s="154"/>
      <c r="Q163" s="154"/>
      <c r="R163" s="154"/>
      <c r="S163" s="154"/>
      <c r="T163" s="154"/>
      <c r="U163" s="154"/>
      <c r="V163" s="154"/>
      <c r="W163" s="154"/>
      <c r="X163" s="154"/>
      <c r="Y163" s="154"/>
      <c r="Z163" s="154"/>
    </row>
    <row r="164" ht="12.75" hidden="1" customHeight="1">
      <c r="A164" s="186"/>
      <c r="B164" s="187"/>
      <c r="C164" s="187"/>
      <c r="D164" s="154"/>
      <c r="E164" s="154"/>
      <c r="F164" s="154"/>
      <c r="G164" s="154"/>
      <c r="H164" s="154"/>
      <c r="I164" s="154"/>
      <c r="J164" s="154"/>
      <c r="K164" s="154"/>
      <c r="L164" s="154"/>
      <c r="M164" s="154"/>
      <c r="N164" s="154"/>
      <c r="O164" s="154"/>
      <c r="P164" s="154"/>
      <c r="Q164" s="154"/>
      <c r="R164" s="154"/>
      <c r="S164" s="154"/>
      <c r="T164" s="154"/>
      <c r="U164" s="154"/>
      <c r="V164" s="154"/>
      <c r="W164" s="154"/>
      <c r="X164" s="154"/>
      <c r="Y164" s="154"/>
      <c r="Z164" s="154"/>
    </row>
    <row r="165" ht="12.75" hidden="1" customHeight="1">
      <c r="A165" s="186"/>
      <c r="B165" s="187"/>
      <c r="C165" s="187"/>
      <c r="D165" s="154"/>
      <c r="E165" s="154"/>
      <c r="F165" s="154"/>
      <c r="G165" s="154"/>
      <c r="H165" s="154"/>
      <c r="I165" s="154"/>
      <c r="J165" s="154"/>
      <c r="K165" s="154"/>
      <c r="L165" s="154"/>
      <c r="M165" s="154"/>
      <c r="N165" s="154"/>
      <c r="O165" s="154"/>
      <c r="P165" s="154"/>
      <c r="Q165" s="154"/>
      <c r="R165" s="154"/>
      <c r="S165" s="154"/>
      <c r="T165" s="154"/>
      <c r="U165" s="154"/>
      <c r="V165" s="154"/>
      <c r="W165" s="154"/>
      <c r="X165" s="154"/>
      <c r="Y165" s="154"/>
      <c r="Z165" s="154"/>
    </row>
    <row r="166" ht="12.75" hidden="1" customHeight="1">
      <c r="A166" s="186"/>
      <c r="B166" s="187"/>
      <c r="C166" s="187"/>
      <c r="D166" s="154"/>
      <c r="E166" s="154"/>
      <c r="F166" s="154"/>
      <c r="G166" s="154"/>
      <c r="H166" s="154"/>
      <c r="I166" s="154"/>
      <c r="J166" s="154"/>
      <c r="K166" s="154"/>
      <c r="L166" s="154"/>
      <c r="M166" s="154"/>
      <c r="N166" s="154"/>
      <c r="O166" s="154"/>
      <c r="P166" s="154"/>
      <c r="Q166" s="154"/>
      <c r="R166" s="154"/>
      <c r="S166" s="154"/>
      <c r="T166" s="154"/>
      <c r="U166" s="154"/>
      <c r="V166" s="154"/>
      <c r="W166" s="154"/>
      <c r="X166" s="154"/>
      <c r="Y166" s="154"/>
      <c r="Z166" s="154"/>
    </row>
    <row r="167" ht="12.75" hidden="1" customHeight="1">
      <c r="A167" s="186"/>
      <c r="B167" s="187"/>
      <c r="C167" s="187"/>
      <c r="D167" s="154"/>
      <c r="E167" s="154"/>
      <c r="F167" s="154"/>
      <c r="G167" s="154"/>
      <c r="H167" s="154"/>
      <c r="I167" s="154"/>
      <c r="J167" s="154"/>
      <c r="K167" s="154"/>
      <c r="L167" s="154"/>
      <c r="M167" s="154"/>
      <c r="N167" s="154"/>
      <c r="O167" s="154"/>
      <c r="P167" s="154"/>
      <c r="Q167" s="154"/>
      <c r="R167" s="154"/>
      <c r="S167" s="154"/>
      <c r="T167" s="154"/>
      <c r="U167" s="154"/>
      <c r="V167" s="154"/>
      <c r="W167" s="154"/>
      <c r="X167" s="154"/>
      <c r="Y167" s="154"/>
      <c r="Z167" s="154"/>
    </row>
    <row r="168" ht="12.75" hidden="1" customHeight="1">
      <c r="A168" s="186"/>
      <c r="B168" s="187"/>
      <c r="C168" s="187"/>
      <c r="D168" s="154"/>
      <c r="E168" s="154"/>
      <c r="F168" s="154"/>
      <c r="G168" s="154"/>
      <c r="H168" s="154"/>
      <c r="I168" s="154"/>
      <c r="J168" s="154"/>
      <c r="K168" s="154"/>
      <c r="L168" s="154"/>
      <c r="M168" s="154"/>
      <c r="N168" s="154"/>
      <c r="O168" s="154"/>
      <c r="P168" s="154"/>
      <c r="Q168" s="154"/>
      <c r="R168" s="154"/>
      <c r="S168" s="154"/>
      <c r="T168" s="154"/>
      <c r="U168" s="154"/>
      <c r="V168" s="154"/>
      <c r="W168" s="154"/>
      <c r="X168" s="154"/>
      <c r="Y168" s="154"/>
      <c r="Z168" s="154"/>
    </row>
    <row r="169" ht="12.75" hidden="1" customHeight="1">
      <c r="A169" s="186"/>
      <c r="B169" s="187"/>
      <c r="C169" s="187"/>
      <c r="D169" s="154"/>
      <c r="E169" s="154"/>
      <c r="F169" s="154"/>
      <c r="G169" s="154"/>
      <c r="H169" s="154"/>
      <c r="I169" s="154"/>
      <c r="J169" s="154"/>
      <c r="K169" s="154"/>
      <c r="L169" s="154"/>
      <c r="M169" s="154"/>
      <c r="N169" s="154"/>
      <c r="O169" s="154"/>
      <c r="P169" s="154"/>
      <c r="Q169" s="154"/>
      <c r="R169" s="154"/>
      <c r="S169" s="154"/>
      <c r="T169" s="154"/>
      <c r="U169" s="154"/>
      <c r="V169" s="154"/>
      <c r="W169" s="154"/>
      <c r="X169" s="154"/>
      <c r="Y169" s="154"/>
      <c r="Z169" s="154"/>
    </row>
    <row r="170" ht="12.75" hidden="1" customHeight="1">
      <c r="A170" s="186"/>
      <c r="B170" s="187"/>
      <c r="C170" s="187"/>
      <c r="D170" s="154"/>
      <c r="E170" s="154"/>
      <c r="F170" s="154"/>
      <c r="G170" s="154"/>
      <c r="H170" s="154"/>
      <c r="I170" s="154"/>
      <c r="J170" s="154"/>
      <c r="K170" s="154"/>
      <c r="L170" s="154"/>
      <c r="M170" s="154"/>
      <c r="N170" s="154"/>
      <c r="O170" s="154"/>
      <c r="P170" s="154"/>
      <c r="Q170" s="154"/>
      <c r="R170" s="154"/>
      <c r="S170" s="154"/>
      <c r="T170" s="154"/>
      <c r="U170" s="154"/>
      <c r="V170" s="154"/>
      <c r="W170" s="154"/>
      <c r="X170" s="154"/>
      <c r="Y170" s="154"/>
      <c r="Z170" s="154"/>
    </row>
    <row r="171" ht="12.75" hidden="1" customHeight="1">
      <c r="A171" s="186"/>
      <c r="B171" s="187"/>
      <c r="C171" s="187"/>
      <c r="D171" s="154"/>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row>
    <row r="172" ht="12.75" hidden="1" customHeight="1">
      <c r="A172" s="186"/>
      <c r="B172" s="187"/>
      <c r="C172" s="187"/>
      <c r="D172" s="154"/>
      <c r="E172" s="154"/>
      <c r="F172" s="154"/>
      <c r="G172" s="154"/>
      <c r="H172" s="154"/>
      <c r="I172" s="154"/>
      <c r="J172" s="154"/>
      <c r="K172" s="154"/>
      <c r="L172" s="154"/>
      <c r="M172" s="154"/>
      <c r="N172" s="154"/>
      <c r="O172" s="154"/>
      <c r="P172" s="154"/>
      <c r="Q172" s="154"/>
      <c r="R172" s="154"/>
      <c r="S172" s="154"/>
      <c r="T172" s="154"/>
      <c r="U172" s="154"/>
      <c r="V172" s="154"/>
      <c r="W172" s="154"/>
      <c r="X172" s="154"/>
      <c r="Y172" s="154"/>
      <c r="Z172" s="154"/>
    </row>
    <row r="173" ht="12.75" hidden="1" customHeight="1">
      <c r="A173" s="186"/>
      <c r="B173" s="187"/>
      <c r="C173" s="187"/>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row>
    <row r="174" ht="12.75" hidden="1" customHeight="1">
      <c r="A174" s="186"/>
      <c r="B174" s="187"/>
      <c r="C174" s="187"/>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row>
    <row r="175" ht="12.75" hidden="1" customHeight="1">
      <c r="A175" s="186"/>
      <c r="B175" s="187"/>
      <c r="C175" s="187"/>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row>
    <row r="176" ht="12.75" hidden="1" customHeight="1">
      <c r="A176" s="186"/>
      <c r="B176" s="187"/>
      <c r="C176" s="187"/>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row>
    <row r="177" ht="12.75" hidden="1" customHeight="1">
      <c r="A177" s="186"/>
      <c r="B177" s="187"/>
      <c r="C177" s="187"/>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row>
    <row r="178" ht="12.75" hidden="1" customHeight="1">
      <c r="A178" s="186"/>
      <c r="B178" s="187"/>
      <c r="C178" s="187"/>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row>
    <row r="179" ht="12.75" hidden="1" customHeight="1">
      <c r="A179" s="186"/>
      <c r="B179" s="187"/>
      <c r="C179" s="187"/>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row>
    <row r="180" ht="12.75" hidden="1" customHeight="1">
      <c r="A180" s="186"/>
      <c r="B180" s="187"/>
      <c r="C180" s="187"/>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row>
    <row r="181" ht="12.75" hidden="1" customHeight="1">
      <c r="A181" s="186"/>
      <c r="B181" s="187"/>
      <c r="C181" s="187"/>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row>
    <row r="182" ht="12.75" hidden="1" customHeight="1">
      <c r="A182" s="186"/>
      <c r="B182" s="187"/>
      <c r="C182" s="187"/>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row>
    <row r="183" ht="12.75" hidden="1" customHeight="1">
      <c r="A183" s="186"/>
      <c r="B183" s="187"/>
      <c r="C183" s="187"/>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row>
    <row r="184" ht="12.75" hidden="1" customHeight="1">
      <c r="A184" s="186"/>
      <c r="B184" s="187"/>
      <c r="C184" s="187"/>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row>
    <row r="185" ht="12.75" hidden="1" customHeight="1">
      <c r="A185" s="186"/>
      <c r="B185" s="187"/>
      <c r="C185" s="187"/>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row>
    <row r="186" ht="12.75" hidden="1" customHeight="1">
      <c r="A186" s="186"/>
      <c r="B186" s="187"/>
      <c r="C186" s="187"/>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row>
    <row r="187" ht="12.75" hidden="1" customHeight="1">
      <c r="A187" s="186"/>
      <c r="B187" s="187"/>
      <c r="C187" s="187"/>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row>
    <row r="188" ht="12.75" hidden="1" customHeight="1">
      <c r="A188" s="186"/>
      <c r="B188" s="187"/>
      <c r="C188" s="187"/>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row>
    <row r="189" ht="12.75" hidden="1" customHeight="1">
      <c r="A189" s="186"/>
      <c r="B189" s="187"/>
      <c r="C189" s="187"/>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row>
    <row r="190" ht="12.75" hidden="1" customHeight="1">
      <c r="A190" s="186"/>
      <c r="B190" s="187"/>
      <c r="C190" s="187"/>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row>
    <row r="191" ht="12.75" hidden="1" customHeight="1">
      <c r="A191" s="186"/>
      <c r="B191" s="187"/>
      <c r="C191" s="187"/>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row>
    <row r="192" ht="12.75" hidden="1" customHeight="1">
      <c r="A192" s="186"/>
      <c r="B192" s="187"/>
      <c r="C192" s="187"/>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row>
    <row r="193" ht="12.75" hidden="1" customHeight="1">
      <c r="A193" s="186"/>
      <c r="B193" s="187"/>
      <c r="C193" s="187"/>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row>
    <row r="194" ht="12.75" hidden="1" customHeight="1">
      <c r="A194" s="186"/>
      <c r="B194" s="187"/>
      <c r="C194" s="187"/>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row>
    <row r="195" ht="12.75" hidden="1" customHeight="1">
      <c r="A195" s="186"/>
      <c r="B195" s="187"/>
      <c r="C195" s="187"/>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row>
    <row r="196" ht="12.75" hidden="1" customHeight="1">
      <c r="A196" s="186"/>
      <c r="B196" s="187"/>
      <c r="C196" s="187"/>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row>
    <row r="197" ht="12.75" hidden="1" customHeight="1">
      <c r="A197" s="186"/>
      <c r="B197" s="187"/>
      <c r="C197" s="187"/>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row>
    <row r="198" ht="12.75" hidden="1" customHeight="1">
      <c r="A198" s="186"/>
      <c r="B198" s="187"/>
      <c r="C198" s="187"/>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row>
    <row r="199" ht="12.75" hidden="1" customHeight="1">
      <c r="A199" s="186"/>
      <c r="B199" s="187"/>
      <c r="C199" s="187"/>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row>
    <row r="200" ht="12.75" hidden="1" customHeight="1">
      <c r="A200" s="186"/>
      <c r="B200" s="187"/>
      <c r="C200" s="187"/>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row>
    <row r="201" ht="12.75" hidden="1" customHeight="1">
      <c r="A201" s="186"/>
      <c r="B201" s="187"/>
      <c r="C201" s="187"/>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row>
    <row r="202" ht="12.75" hidden="1" customHeight="1">
      <c r="A202" s="186"/>
      <c r="B202" s="187"/>
      <c r="C202" s="187"/>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row>
    <row r="203" ht="12.75" hidden="1" customHeight="1">
      <c r="A203" s="186"/>
      <c r="B203" s="187"/>
      <c r="C203" s="187"/>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row>
    <row r="204" ht="12.75" hidden="1" customHeight="1">
      <c r="A204" s="186"/>
      <c r="B204" s="187"/>
      <c r="C204" s="187"/>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row>
    <row r="205" ht="12.75" hidden="1" customHeight="1">
      <c r="A205" s="186"/>
      <c r="B205" s="187"/>
      <c r="C205" s="187"/>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row>
    <row r="206" ht="12.75" hidden="1" customHeight="1">
      <c r="A206" s="186"/>
      <c r="B206" s="187"/>
      <c r="C206" s="187"/>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row>
    <row r="207" ht="12.75" hidden="1" customHeight="1">
      <c r="A207" s="186"/>
      <c r="B207" s="187"/>
      <c r="C207" s="187"/>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row>
    <row r="208" ht="12.75" hidden="1" customHeight="1">
      <c r="A208" s="186"/>
      <c r="B208" s="187"/>
      <c r="C208" s="187"/>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row>
    <row r="209" ht="12.75" hidden="1" customHeight="1">
      <c r="A209" s="186"/>
      <c r="B209" s="187"/>
      <c r="C209" s="187"/>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row>
    <row r="210" ht="12.75" hidden="1" customHeight="1">
      <c r="A210" s="186"/>
      <c r="B210" s="187"/>
      <c r="C210" s="187"/>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row>
    <row r="211" ht="12.75" hidden="1" customHeight="1">
      <c r="A211" s="186"/>
      <c r="B211" s="187"/>
      <c r="C211" s="187"/>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row>
    <row r="212" ht="12.75" hidden="1" customHeight="1">
      <c r="A212" s="186"/>
      <c r="B212" s="187"/>
      <c r="C212" s="187"/>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row>
    <row r="213" ht="12.75" hidden="1" customHeight="1">
      <c r="A213" s="186"/>
      <c r="B213" s="187"/>
      <c r="C213" s="187"/>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row>
    <row r="214" ht="12.75" hidden="1" customHeight="1">
      <c r="A214" s="186"/>
      <c r="B214" s="187"/>
      <c r="C214" s="187"/>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row>
    <row r="215" ht="12.75" hidden="1" customHeight="1">
      <c r="A215" s="186"/>
      <c r="B215" s="187"/>
      <c r="C215" s="187"/>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row>
    <row r="216" ht="12.75" hidden="1" customHeight="1">
      <c r="A216" s="186"/>
      <c r="B216" s="187"/>
      <c r="C216" s="187"/>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row>
    <row r="217" ht="12.75" hidden="1" customHeight="1">
      <c r="A217" s="186"/>
      <c r="B217" s="187"/>
      <c r="C217" s="187"/>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row>
    <row r="218" ht="12.75" hidden="1" customHeight="1">
      <c r="A218" s="186"/>
      <c r="B218" s="187"/>
      <c r="C218" s="187"/>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row>
    <row r="219" ht="12.75" hidden="1" customHeight="1">
      <c r="A219" s="186"/>
      <c r="B219" s="187"/>
      <c r="C219" s="187"/>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row>
    <row r="220" ht="12.75" hidden="1" customHeight="1">
      <c r="A220" s="186"/>
      <c r="B220" s="187"/>
      <c r="C220" s="187"/>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row>
    <row r="221" ht="12.75" hidden="1" customHeight="1">
      <c r="A221" s="186"/>
      <c r="B221" s="187"/>
      <c r="C221" s="187"/>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row>
    <row r="222" ht="12.75" hidden="1" customHeight="1">
      <c r="A222" s="186"/>
      <c r="B222" s="187"/>
      <c r="C222" s="187"/>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row>
    <row r="223" ht="12.75" hidden="1" customHeight="1">
      <c r="A223" s="186"/>
      <c r="B223" s="187"/>
      <c r="C223" s="187"/>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row>
    <row r="224" ht="12.75" hidden="1" customHeight="1">
      <c r="A224" s="186"/>
      <c r="B224" s="187"/>
      <c r="C224" s="187"/>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row>
    <row r="225" ht="12.75" hidden="1" customHeight="1">
      <c r="A225" s="186"/>
      <c r="B225" s="187"/>
      <c r="C225" s="187"/>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row>
    <row r="226" ht="12.75" hidden="1" customHeight="1">
      <c r="A226" s="186"/>
      <c r="B226" s="187"/>
      <c r="C226" s="187"/>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row>
    <row r="227" ht="12.75" hidden="1" customHeight="1">
      <c r="A227" s="186"/>
      <c r="B227" s="187"/>
      <c r="C227" s="187"/>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row>
    <row r="228" ht="12.75" hidden="1" customHeight="1">
      <c r="A228" s="186"/>
      <c r="B228" s="187"/>
      <c r="C228" s="187"/>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row>
    <row r="229" ht="12.75" hidden="1" customHeight="1">
      <c r="A229" s="186"/>
      <c r="B229" s="187"/>
      <c r="C229" s="187"/>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row>
    <row r="230" ht="12.75" hidden="1" customHeight="1">
      <c r="A230" s="186"/>
      <c r="B230" s="187"/>
      <c r="C230" s="187"/>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row>
    <row r="231" ht="12.75" hidden="1" customHeight="1">
      <c r="A231" s="186"/>
      <c r="B231" s="187"/>
      <c r="C231" s="187"/>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row>
    <row r="232" ht="12.75" hidden="1" customHeight="1">
      <c r="A232" s="186"/>
      <c r="B232" s="187"/>
      <c r="C232" s="187"/>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row>
    <row r="233" ht="12.75" hidden="1" customHeight="1">
      <c r="A233" s="186"/>
      <c r="B233" s="187"/>
      <c r="C233" s="187"/>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row>
    <row r="234" ht="12.75" hidden="1" customHeight="1">
      <c r="A234" s="186"/>
      <c r="B234" s="187"/>
      <c r="C234" s="187"/>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row>
    <row r="235" ht="12.75" hidden="1" customHeight="1">
      <c r="A235" s="186"/>
      <c r="B235" s="187"/>
      <c r="C235" s="187"/>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row>
    <row r="236" ht="12.75" hidden="1" customHeight="1">
      <c r="A236" s="186"/>
      <c r="B236" s="187"/>
      <c r="C236" s="187"/>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row>
    <row r="237" ht="12.75" hidden="1" customHeight="1">
      <c r="A237" s="186"/>
      <c r="B237" s="187"/>
      <c r="C237" s="187"/>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row>
    <row r="238" ht="12.75" hidden="1" customHeight="1">
      <c r="A238" s="186"/>
      <c r="B238" s="187"/>
      <c r="C238" s="187"/>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row>
    <row r="239" ht="12.75" hidden="1" customHeight="1">
      <c r="A239" s="186"/>
      <c r="B239" s="187"/>
      <c r="C239" s="187"/>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row>
    <row r="240" ht="12.75" hidden="1" customHeight="1">
      <c r="A240" s="186"/>
      <c r="B240" s="187"/>
      <c r="C240" s="187"/>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row>
    <row r="241" ht="12.75" hidden="1" customHeight="1">
      <c r="A241" s="186"/>
      <c r="B241" s="187"/>
      <c r="C241" s="187"/>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row>
    <row r="242" ht="12.75" hidden="1" customHeight="1">
      <c r="A242" s="186"/>
      <c r="B242" s="187"/>
      <c r="C242" s="187"/>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row>
    <row r="243" ht="12.75" hidden="1" customHeight="1">
      <c r="A243" s="186"/>
      <c r="B243" s="187"/>
      <c r="C243" s="187"/>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row>
    <row r="244" ht="12.75" hidden="1" customHeight="1">
      <c r="A244" s="186"/>
      <c r="B244" s="187"/>
      <c r="C244" s="187"/>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row>
    <row r="245" ht="12.75" hidden="1" customHeight="1">
      <c r="A245" s="186"/>
      <c r="B245" s="187"/>
      <c r="C245" s="187"/>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row>
    <row r="246" ht="12.75" hidden="1" customHeight="1">
      <c r="A246" s="186"/>
      <c r="B246" s="187"/>
      <c r="C246" s="187"/>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row>
    <row r="247" ht="12.75" hidden="1" customHeight="1">
      <c r="A247" s="186"/>
      <c r="B247" s="187"/>
      <c r="C247" s="187"/>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row>
    <row r="248" ht="12.75" hidden="1" customHeight="1">
      <c r="A248" s="186"/>
      <c r="B248" s="187"/>
      <c r="C248" s="187"/>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row>
    <row r="249" ht="12.75" hidden="1" customHeight="1">
      <c r="A249" s="186"/>
      <c r="B249" s="187"/>
      <c r="C249" s="187"/>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row>
    <row r="250" ht="12.75" hidden="1" customHeight="1">
      <c r="A250" s="186"/>
      <c r="B250" s="187"/>
      <c r="C250" s="187"/>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row>
    <row r="251" ht="12.75" hidden="1" customHeight="1">
      <c r="A251" s="186"/>
      <c r="B251" s="187"/>
      <c r="C251" s="187"/>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row>
    <row r="252" ht="12.75" hidden="1" customHeight="1">
      <c r="A252" s="186"/>
      <c r="B252" s="187"/>
      <c r="C252" s="187"/>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row>
    <row r="253" ht="12.75" hidden="1" customHeight="1">
      <c r="A253" s="186"/>
      <c r="B253" s="187"/>
      <c r="C253" s="187"/>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row>
    <row r="254" ht="12.75" hidden="1" customHeight="1">
      <c r="A254" s="186"/>
      <c r="B254" s="187"/>
      <c r="C254" s="187"/>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row>
    <row r="255" ht="12.75" hidden="1" customHeight="1">
      <c r="A255" s="186"/>
      <c r="B255" s="187"/>
      <c r="C255" s="187"/>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row>
    <row r="256" ht="12.75" hidden="1" customHeight="1">
      <c r="A256" s="186"/>
      <c r="B256" s="187"/>
      <c r="C256" s="187"/>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row>
    <row r="257" ht="12.75" hidden="1" customHeight="1">
      <c r="A257" s="186"/>
      <c r="B257" s="187"/>
      <c r="C257" s="187"/>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row>
    <row r="258" ht="12.75" hidden="1" customHeight="1">
      <c r="A258" s="186"/>
      <c r="B258" s="187"/>
      <c r="C258" s="187"/>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row>
    <row r="259" ht="12.75" hidden="1" customHeight="1">
      <c r="A259" s="186"/>
      <c r="B259" s="187"/>
      <c r="C259" s="187"/>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row>
    <row r="260" ht="12.75" hidden="1" customHeight="1">
      <c r="A260" s="186"/>
      <c r="B260" s="187"/>
      <c r="C260" s="187"/>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row>
    <row r="261" ht="12.75" hidden="1" customHeight="1">
      <c r="A261" s="186"/>
      <c r="B261" s="187"/>
      <c r="C261" s="187"/>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row>
    <row r="262" ht="12.75" hidden="1" customHeight="1">
      <c r="A262" s="186"/>
      <c r="B262" s="187"/>
      <c r="C262" s="187"/>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row>
    <row r="263" ht="12.75" hidden="1" customHeight="1">
      <c r="A263" s="186"/>
      <c r="B263" s="187"/>
      <c r="C263" s="187"/>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row>
    <row r="264" ht="12.75" hidden="1" customHeight="1">
      <c r="A264" s="186"/>
      <c r="B264" s="187"/>
      <c r="C264" s="187"/>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row>
    <row r="265" ht="12.75" hidden="1" customHeight="1">
      <c r="A265" s="186"/>
      <c r="B265" s="187"/>
      <c r="C265" s="187"/>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row>
    <row r="266" ht="12.75" hidden="1" customHeight="1">
      <c r="A266" s="186"/>
      <c r="B266" s="187"/>
      <c r="C266" s="187"/>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row>
    <row r="267" ht="12.75" hidden="1" customHeight="1">
      <c r="A267" s="186"/>
      <c r="B267" s="187"/>
      <c r="C267" s="187"/>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row>
    <row r="268" ht="12.75" hidden="1" customHeight="1">
      <c r="A268" s="186"/>
      <c r="B268" s="187"/>
      <c r="C268" s="187"/>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row>
    <row r="269" ht="12.75" hidden="1" customHeight="1">
      <c r="A269" s="186"/>
      <c r="B269" s="187"/>
      <c r="C269" s="187"/>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row>
    <row r="270" ht="12.75" hidden="1" customHeight="1">
      <c r="A270" s="186"/>
      <c r="B270" s="187"/>
      <c r="C270" s="187"/>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row>
    <row r="271" ht="12.75" hidden="1" customHeight="1">
      <c r="A271" s="186"/>
      <c r="B271" s="187"/>
      <c r="C271" s="187"/>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row>
    <row r="272" ht="12.75" hidden="1" customHeight="1">
      <c r="A272" s="186"/>
      <c r="B272" s="187"/>
      <c r="C272" s="187"/>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row>
    <row r="273" ht="12.75" hidden="1" customHeight="1">
      <c r="A273" s="186"/>
      <c r="B273" s="187"/>
      <c r="C273" s="187"/>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row>
    <row r="274" ht="12.75" hidden="1" customHeight="1">
      <c r="A274" s="186"/>
      <c r="B274" s="187"/>
      <c r="C274" s="187"/>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row>
    <row r="275" ht="12.75" hidden="1" customHeight="1">
      <c r="A275" s="186"/>
      <c r="B275" s="187"/>
      <c r="C275" s="187"/>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row>
    <row r="276" ht="12.75" hidden="1" customHeight="1">
      <c r="A276" s="186"/>
      <c r="B276" s="187"/>
      <c r="C276" s="187"/>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row>
    <row r="277" ht="12.75" hidden="1" customHeight="1">
      <c r="A277" s="186"/>
      <c r="B277" s="187"/>
      <c r="C277" s="187"/>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row>
    <row r="278" ht="12.75" hidden="1" customHeight="1">
      <c r="A278" s="186"/>
      <c r="B278" s="187"/>
      <c r="C278" s="187"/>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row>
    <row r="279" ht="12.75" customHeight="1">
      <c r="A279" s="186"/>
      <c r="B279" s="187"/>
      <c r="C279" s="187"/>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row>
    <row r="280" ht="12.75" customHeight="1">
      <c r="A280" s="186"/>
      <c r="B280" s="187"/>
      <c r="C280" s="187"/>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row>
    <row r="281" ht="12.75" customHeight="1">
      <c r="A281" s="186"/>
      <c r="B281" s="187"/>
      <c r="C281" s="187"/>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row>
    <row r="282" ht="12.75" customHeight="1">
      <c r="A282" s="186"/>
      <c r="B282" s="187"/>
      <c r="C282" s="187"/>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row>
    <row r="283" ht="12.75" customHeight="1">
      <c r="A283" s="186"/>
      <c r="B283" s="187"/>
      <c r="C283" s="187"/>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row>
    <row r="284" ht="12.75" customHeight="1">
      <c r="A284" s="186"/>
      <c r="B284" s="187"/>
      <c r="C284" s="187"/>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row>
    <row r="285" ht="12.75" customHeight="1">
      <c r="A285" s="186"/>
      <c r="B285" s="187"/>
      <c r="C285" s="187"/>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row>
    <row r="286" ht="12.75" customHeight="1">
      <c r="A286" s="186"/>
      <c r="B286" s="187"/>
      <c r="C286" s="187"/>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row>
    <row r="287" ht="12.75" customHeight="1">
      <c r="A287" s="186"/>
      <c r="B287" s="187"/>
      <c r="C287" s="187"/>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row>
    <row r="288" ht="12.75" customHeight="1">
      <c r="A288" s="186"/>
      <c r="B288" s="187"/>
      <c r="C288" s="187"/>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row>
    <row r="289" ht="12.75" customHeight="1">
      <c r="A289" s="186"/>
      <c r="B289" s="187"/>
      <c r="C289" s="187"/>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row>
    <row r="290" ht="12.75" customHeight="1">
      <c r="A290" s="186"/>
      <c r="B290" s="187"/>
      <c r="C290" s="187"/>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row>
    <row r="291" ht="12.75" customHeight="1">
      <c r="A291" s="186"/>
      <c r="B291" s="187"/>
      <c r="C291" s="187"/>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row>
    <row r="292" ht="12.75" customHeight="1">
      <c r="A292" s="186"/>
      <c r="B292" s="187"/>
      <c r="C292" s="187"/>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row>
    <row r="293" ht="12.75" customHeight="1">
      <c r="A293" s="186"/>
      <c r="B293" s="187"/>
      <c r="C293" s="187"/>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row>
    <row r="294" ht="12.75" customHeight="1">
      <c r="A294" s="186"/>
      <c r="B294" s="187"/>
      <c r="C294" s="187"/>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row>
    <row r="295" ht="12.75" customHeight="1">
      <c r="A295" s="186"/>
      <c r="B295" s="187"/>
      <c r="C295" s="187"/>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row>
    <row r="296" ht="12.75" customHeight="1">
      <c r="A296" s="186"/>
      <c r="B296" s="187"/>
      <c r="C296" s="187"/>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row>
    <row r="297" ht="12.75" customHeight="1">
      <c r="A297" s="186"/>
      <c r="B297" s="187"/>
      <c r="C297" s="187"/>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row>
    <row r="298" ht="12.75" customHeight="1">
      <c r="A298" s="186"/>
      <c r="B298" s="187"/>
      <c r="C298" s="187"/>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row>
    <row r="299" ht="12.75" customHeight="1">
      <c r="A299" s="186"/>
      <c r="B299" s="187"/>
      <c r="C299" s="187"/>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row>
    <row r="300" ht="12.75" customHeight="1">
      <c r="A300" s="186"/>
      <c r="B300" s="187"/>
      <c r="C300" s="187"/>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row>
    <row r="301" ht="12.75" customHeight="1">
      <c r="A301" s="186"/>
      <c r="B301" s="187"/>
      <c r="C301" s="187"/>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row>
    <row r="302" ht="12.75" customHeight="1">
      <c r="A302" s="186"/>
      <c r="B302" s="187"/>
      <c r="C302" s="187"/>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row>
    <row r="303" ht="12.75" customHeight="1">
      <c r="A303" s="186"/>
      <c r="B303" s="187"/>
      <c r="C303" s="187"/>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row>
    <row r="304" ht="12.75" customHeight="1">
      <c r="A304" s="186"/>
      <c r="B304" s="187"/>
      <c r="C304" s="187"/>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row>
    <row r="305" ht="12.75" customHeight="1">
      <c r="A305" s="186"/>
      <c r="B305" s="187"/>
      <c r="C305" s="187"/>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row>
    <row r="306" ht="12.75" customHeight="1">
      <c r="A306" s="186"/>
      <c r="B306" s="187"/>
      <c r="C306" s="187"/>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row>
    <row r="307" ht="12.75" customHeight="1">
      <c r="A307" s="186"/>
      <c r="B307" s="187"/>
      <c r="C307" s="187"/>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row>
    <row r="308" ht="12.75" customHeight="1">
      <c r="A308" s="186"/>
      <c r="B308" s="187"/>
      <c r="C308" s="187"/>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row>
    <row r="309" ht="12.75" customHeight="1">
      <c r="A309" s="186"/>
      <c r="B309" s="187"/>
      <c r="C309" s="187"/>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row>
    <row r="310" ht="12.75" customHeight="1">
      <c r="A310" s="186"/>
      <c r="B310" s="187"/>
      <c r="C310" s="187"/>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row>
    <row r="311" ht="12.75" customHeight="1">
      <c r="A311" s="186"/>
      <c r="B311" s="187"/>
      <c r="C311" s="187"/>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row>
    <row r="312" ht="12.75" customHeight="1">
      <c r="A312" s="186"/>
      <c r="B312" s="187"/>
      <c r="C312" s="187"/>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row>
    <row r="313" ht="12.75" customHeight="1">
      <c r="A313" s="186"/>
      <c r="B313" s="187"/>
      <c r="C313" s="187"/>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row>
    <row r="314" ht="12.75" customHeight="1">
      <c r="A314" s="186"/>
      <c r="B314" s="187"/>
      <c r="C314" s="187"/>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row>
    <row r="315" ht="12.75" customHeight="1">
      <c r="A315" s="186"/>
      <c r="B315" s="187"/>
      <c r="C315" s="187"/>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row>
    <row r="316" ht="12.75" customHeight="1">
      <c r="A316" s="186"/>
      <c r="B316" s="187"/>
      <c r="C316" s="187"/>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row>
    <row r="317" ht="12.75" customHeight="1">
      <c r="A317" s="186"/>
      <c r="B317" s="187"/>
      <c r="C317" s="187"/>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row>
    <row r="318" ht="12.75" customHeight="1">
      <c r="A318" s="186"/>
      <c r="B318" s="187"/>
      <c r="C318" s="187"/>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row>
    <row r="319" ht="12.75" customHeight="1">
      <c r="A319" s="186"/>
      <c r="B319" s="187"/>
      <c r="C319" s="187"/>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row>
    <row r="320" ht="12.75" customHeight="1">
      <c r="A320" s="186"/>
      <c r="B320" s="187"/>
      <c r="C320" s="187"/>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row>
    <row r="321" ht="12.75" customHeight="1">
      <c r="A321" s="186"/>
      <c r="B321" s="187"/>
      <c r="C321" s="187"/>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row>
    <row r="322" ht="12.75" customHeight="1">
      <c r="A322" s="186"/>
      <c r="B322" s="187"/>
      <c r="C322" s="187"/>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row>
    <row r="323" ht="12.75" customHeight="1">
      <c r="A323" s="186"/>
      <c r="B323" s="187"/>
      <c r="C323" s="187"/>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row>
    <row r="324" ht="12.75" customHeight="1">
      <c r="A324" s="186"/>
      <c r="B324" s="187"/>
      <c r="C324" s="187"/>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row>
    <row r="325" ht="12.75" customHeight="1">
      <c r="A325" s="186"/>
      <c r="B325" s="187"/>
      <c r="C325" s="187"/>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row>
    <row r="326" ht="12.75" customHeight="1">
      <c r="A326" s="186"/>
      <c r="B326" s="187"/>
      <c r="C326" s="187"/>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row>
    <row r="327" ht="12.75" customHeight="1">
      <c r="A327" s="186"/>
      <c r="B327" s="187"/>
      <c r="C327" s="187"/>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row>
    <row r="328" ht="12.75" customHeight="1">
      <c r="A328" s="186"/>
      <c r="B328" s="187"/>
      <c r="C328" s="187"/>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row>
    <row r="329" ht="12.75" customHeight="1">
      <c r="A329" s="186"/>
      <c r="B329" s="187"/>
      <c r="C329" s="187"/>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row>
    <row r="330" ht="12.75" customHeight="1">
      <c r="A330" s="186"/>
      <c r="B330" s="187"/>
      <c r="C330" s="187"/>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row>
    <row r="331" ht="12.75" customHeight="1">
      <c r="A331" s="186"/>
      <c r="B331" s="187"/>
      <c r="C331" s="187"/>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row>
    <row r="332" ht="12.75" customHeight="1">
      <c r="A332" s="186"/>
      <c r="B332" s="187"/>
      <c r="C332" s="187"/>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row>
    <row r="333" ht="12.75" customHeight="1">
      <c r="A333" s="186"/>
      <c r="B333" s="187"/>
      <c r="C333" s="187"/>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row>
    <row r="334" ht="12.75" customHeight="1">
      <c r="A334" s="186"/>
      <c r="B334" s="187"/>
      <c r="C334" s="187"/>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row>
    <row r="335" ht="12.75" customHeight="1">
      <c r="A335" s="186"/>
      <c r="B335" s="187"/>
      <c r="C335" s="187"/>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row>
    <row r="336" ht="12.75" customHeight="1">
      <c r="A336" s="186"/>
      <c r="B336" s="187"/>
      <c r="C336" s="187"/>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row>
    <row r="337" ht="12.75" customHeight="1">
      <c r="A337" s="186"/>
      <c r="B337" s="187"/>
      <c r="C337" s="187"/>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row>
    <row r="338" ht="12.75" customHeight="1">
      <c r="A338" s="186"/>
      <c r="B338" s="187"/>
      <c r="C338" s="187"/>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row>
    <row r="339" ht="12.75" customHeight="1">
      <c r="A339" s="186"/>
      <c r="B339" s="187"/>
      <c r="C339" s="187"/>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row>
    <row r="340" ht="12.75" customHeight="1">
      <c r="A340" s="186"/>
      <c r="B340" s="187"/>
      <c r="C340" s="187"/>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row>
    <row r="341" ht="12.75" customHeight="1">
      <c r="A341" s="186"/>
      <c r="B341" s="187"/>
      <c r="C341" s="187"/>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row>
    <row r="342" ht="12.75" customHeight="1">
      <c r="A342" s="186"/>
      <c r="B342" s="187"/>
      <c r="C342" s="187"/>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row>
    <row r="343" ht="12.75" customHeight="1">
      <c r="A343" s="186"/>
      <c r="B343" s="187"/>
      <c r="C343" s="187"/>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row>
    <row r="344" ht="12.75" customHeight="1">
      <c r="A344" s="186"/>
      <c r="B344" s="187"/>
      <c r="C344" s="187"/>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row>
    <row r="345" ht="12.75" customHeight="1">
      <c r="A345" s="186"/>
      <c r="B345" s="187"/>
      <c r="C345" s="187"/>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row>
    <row r="346" ht="12.75" customHeight="1">
      <c r="A346" s="186"/>
      <c r="B346" s="187"/>
      <c r="C346" s="187"/>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row>
    <row r="347" ht="12.75" customHeight="1">
      <c r="A347" s="186"/>
      <c r="B347" s="187"/>
      <c r="C347" s="187"/>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row>
    <row r="348" ht="12.75" customHeight="1">
      <c r="A348" s="186"/>
      <c r="B348" s="187"/>
      <c r="C348" s="187"/>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row>
    <row r="349" ht="12.75" customHeight="1">
      <c r="A349" s="186"/>
      <c r="B349" s="187"/>
      <c r="C349" s="187"/>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row>
    <row r="350" ht="12.75" customHeight="1">
      <c r="A350" s="186"/>
      <c r="B350" s="187"/>
      <c r="C350" s="187"/>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row>
    <row r="351" ht="12.75" customHeight="1">
      <c r="A351" s="186"/>
      <c r="B351" s="187"/>
      <c r="C351" s="187"/>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row>
    <row r="352" ht="12.75" customHeight="1">
      <c r="A352" s="186"/>
      <c r="B352" s="187"/>
      <c r="C352" s="187"/>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row>
    <row r="353" ht="12.75" customHeight="1">
      <c r="A353" s="186"/>
      <c r="B353" s="187"/>
      <c r="C353" s="187"/>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row>
    <row r="354" ht="12.75" customHeight="1">
      <c r="A354" s="186"/>
      <c r="B354" s="187"/>
      <c r="C354" s="187"/>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row>
    <row r="355" ht="12.75" customHeight="1">
      <c r="A355" s="186"/>
      <c r="B355" s="187"/>
      <c r="C355" s="187"/>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row>
    <row r="356" ht="12.75" customHeight="1">
      <c r="A356" s="186"/>
      <c r="B356" s="187"/>
      <c r="C356" s="187"/>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row>
    <row r="357" ht="12.75" customHeight="1">
      <c r="A357" s="186"/>
      <c r="B357" s="187"/>
      <c r="C357" s="187"/>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row>
    <row r="358" ht="12.75" customHeight="1">
      <c r="A358" s="186"/>
      <c r="B358" s="187"/>
      <c r="C358" s="187"/>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row>
    <row r="359" ht="12.75" customHeight="1">
      <c r="A359" s="186"/>
      <c r="B359" s="187"/>
      <c r="C359" s="187"/>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row>
    <row r="360" ht="12.75" customHeight="1">
      <c r="A360" s="186"/>
      <c r="B360" s="187"/>
      <c r="C360" s="187"/>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row>
    <row r="361" ht="12.75" customHeight="1">
      <c r="A361" s="186"/>
      <c r="B361" s="187"/>
      <c r="C361" s="187"/>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row>
    <row r="362" ht="12.75" customHeight="1">
      <c r="A362" s="186"/>
      <c r="B362" s="187"/>
      <c r="C362" s="187"/>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row>
    <row r="363" ht="12.75" customHeight="1">
      <c r="A363" s="186"/>
      <c r="B363" s="187"/>
      <c r="C363" s="187"/>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row>
    <row r="364" ht="12.75" customHeight="1">
      <c r="A364" s="186"/>
      <c r="B364" s="187"/>
      <c r="C364" s="187"/>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row>
    <row r="365" ht="12.75" customHeight="1">
      <c r="A365" s="186"/>
      <c r="B365" s="187"/>
      <c r="C365" s="187"/>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row>
    <row r="366" ht="12.75" customHeight="1">
      <c r="A366" s="186"/>
      <c r="B366" s="187"/>
      <c r="C366" s="187"/>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row>
    <row r="367" ht="12.75" customHeight="1">
      <c r="A367" s="186"/>
      <c r="B367" s="187"/>
      <c r="C367" s="187"/>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row>
    <row r="368" ht="12.75" customHeight="1">
      <c r="A368" s="186"/>
      <c r="B368" s="187"/>
      <c r="C368" s="187"/>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row>
    <row r="369" ht="12.75" customHeight="1">
      <c r="A369" s="186"/>
      <c r="B369" s="187"/>
      <c r="C369" s="187"/>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row>
    <row r="370" ht="12.75" customHeight="1">
      <c r="A370" s="186"/>
      <c r="B370" s="187"/>
      <c r="C370" s="187"/>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row>
    <row r="371" ht="12.75" customHeight="1">
      <c r="A371" s="186"/>
      <c r="B371" s="187"/>
      <c r="C371" s="187"/>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row>
    <row r="372" ht="12.75" customHeight="1">
      <c r="A372" s="186"/>
      <c r="B372" s="187"/>
      <c r="C372" s="187"/>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row>
    <row r="373" ht="12.75" customHeight="1">
      <c r="A373" s="186"/>
      <c r="B373" s="187"/>
      <c r="C373" s="187"/>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row>
    <row r="374" ht="12.75" customHeight="1">
      <c r="A374" s="186"/>
      <c r="B374" s="187"/>
      <c r="C374" s="187"/>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row>
    <row r="375" ht="12.75" customHeight="1">
      <c r="A375" s="186"/>
      <c r="B375" s="187"/>
      <c r="C375" s="187"/>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row>
    <row r="376" ht="12.75" customHeight="1">
      <c r="A376" s="186"/>
      <c r="B376" s="187"/>
      <c r="C376" s="187"/>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row>
    <row r="377" ht="12.75" customHeight="1">
      <c r="A377" s="186"/>
      <c r="B377" s="187"/>
      <c r="C377" s="187"/>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row>
    <row r="378" ht="12.75" customHeight="1">
      <c r="A378" s="186"/>
      <c r="B378" s="187"/>
      <c r="C378" s="187"/>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row>
    <row r="379" ht="12.75" customHeight="1">
      <c r="A379" s="186"/>
      <c r="B379" s="187"/>
      <c r="C379" s="187"/>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row>
    <row r="380" ht="12.75" customHeight="1">
      <c r="A380" s="186"/>
      <c r="B380" s="187"/>
      <c r="C380" s="187"/>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row>
    <row r="381" ht="12.75" customHeight="1">
      <c r="A381" s="186"/>
      <c r="B381" s="187"/>
      <c r="C381" s="187"/>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row>
    <row r="382" ht="12.75" customHeight="1">
      <c r="A382" s="186"/>
      <c r="B382" s="187"/>
      <c r="C382" s="187"/>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row>
    <row r="383" ht="12.75" customHeight="1">
      <c r="A383" s="186"/>
      <c r="B383" s="187"/>
      <c r="C383" s="187"/>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row>
    <row r="384" ht="12.75" customHeight="1">
      <c r="A384" s="186"/>
      <c r="B384" s="187"/>
      <c r="C384" s="187"/>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row>
    <row r="385" ht="12.75" customHeight="1">
      <c r="A385" s="186"/>
      <c r="B385" s="187"/>
      <c r="C385" s="187"/>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row>
    <row r="386" ht="12.75" customHeight="1">
      <c r="A386" s="186"/>
      <c r="B386" s="187"/>
      <c r="C386" s="187"/>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row>
    <row r="387" ht="12.75" customHeight="1">
      <c r="A387" s="186"/>
      <c r="B387" s="187"/>
      <c r="C387" s="187"/>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row>
    <row r="388" ht="12.75" customHeight="1">
      <c r="A388" s="186"/>
      <c r="B388" s="187"/>
      <c r="C388" s="187"/>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row>
    <row r="389" ht="12.75" customHeight="1">
      <c r="A389" s="186"/>
      <c r="B389" s="187"/>
      <c r="C389" s="187"/>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row>
    <row r="390" ht="12.75" customHeight="1">
      <c r="A390" s="186"/>
      <c r="B390" s="187"/>
      <c r="C390" s="187"/>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row>
    <row r="391" ht="12.75" customHeight="1">
      <c r="A391" s="186"/>
      <c r="B391" s="187"/>
      <c r="C391" s="187"/>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row>
    <row r="392" ht="12.75" customHeight="1">
      <c r="A392" s="186"/>
      <c r="B392" s="187"/>
      <c r="C392" s="187"/>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row>
    <row r="393" ht="12.75" customHeight="1">
      <c r="A393" s="186"/>
      <c r="B393" s="187"/>
      <c r="C393" s="187"/>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row>
    <row r="394" ht="12.75" customHeight="1">
      <c r="A394" s="186"/>
      <c r="B394" s="187"/>
      <c r="C394" s="187"/>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row>
    <row r="395" ht="12.75" customHeight="1">
      <c r="A395" s="186"/>
      <c r="B395" s="187"/>
      <c r="C395" s="187"/>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row>
    <row r="396" ht="12.75" customHeight="1">
      <c r="A396" s="186"/>
      <c r="B396" s="187"/>
      <c r="C396" s="187"/>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row>
    <row r="397" ht="12.75" customHeight="1">
      <c r="A397" s="186"/>
      <c r="B397" s="187"/>
      <c r="C397" s="187"/>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row>
    <row r="398" ht="12.75" customHeight="1">
      <c r="A398" s="186"/>
      <c r="B398" s="187"/>
      <c r="C398" s="187"/>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row>
    <row r="399" ht="12.75" customHeight="1">
      <c r="A399" s="186"/>
      <c r="B399" s="187"/>
      <c r="C399" s="187"/>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row>
    <row r="400" ht="12.75" customHeight="1">
      <c r="A400" s="186"/>
      <c r="B400" s="187"/>
      <c r="C400" s="187"/>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row>
    <row r="401" ht="12.75" customHeight="1">
      <c r="A401" s="186"/>
      <c r="B401" s="187"/>
      <c r="C401" s="187"/>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row>
    <row r="402" ht="12.75" customHeight="1">
      <c r="A402" s="186"/>
      <c r="B402" s="187"/>
      <c r="C402" s="187"/>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row>
    <row r="403" ht="12.75" customHeight="1">
      <c r="A403" s="186"/>
      <c r="B403" s="187"/>
      <c r="C403" s="187"/>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row>
    <row r="404" ht="12.75" customHeight="1">
      <c r="A404" s="186"/>
      <c r="B404" s="187"/>
      <c r="C404" s="187"/>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row>
    <row r="405" ht="12.75" customHeight="1">
      <c r="A405" s="186"/>
      <c r="B405" s="187"/>
      <c r="C405" s="187"/>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row>
    <row r="406" ht="12.75" customHeight="1">
      <c r="A406" s="186"/>
      <c r="B406" s="187"/>
      <c r="C406" s="187"/>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row>
    <row r="407" ht="12.75" customHeight="1">
      <c r="A407" s="186"/>
      <c r="B407" s="187"/>
      <c r="C407" s="187"/>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row>
    <row r="408" ht="12.75" customHeight="1">
      <c r="A408" s="186"/>
      <c r="B408" s="187"/>
      <c r="C408" s="187"/>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row>
    <row r="409" ht="12.75" customHeight="1">
      <c r="A409" s="186"/>
      <c r="B409" s="187"/>
      <c r="C409" s="187"/>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row>
    <row r="410" ht="12.75" customHeight="1">
      <c r="A410" s="186"/>
      <c r="B410" s="187"/>
      <c r="C410" s="187"/>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row>
    <row r="411" ht="12.75" customHeight="1">
      <c r="A411" s="186"/>
      <c r="B411" s="187"/>
      <c r="C411" s="187"/>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row>
    <row r="412" ht="12.75" customHeight="1">
      <c r="A412" s="186"/>
      <c r="B412" s="187"/>
      <c r="C412" s="187"/>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row>
    <row r="413" ht="12.75" customHeight="1">
      <c r="A413" s="186"/>
      <c r="B413" s="187"/>
      <c r="C413" s="187"/>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row>
    <row r="414" ht="12.75" customHeight="1">
      <c r="A414" s="186"/>
      <c r="B414" s="187"/>
      <c r="C414" s="187"/>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row>
    <row r="415" ht="12.75" customHeight="1">
      <c r="A415" s="186"/>
      <c r="B415" s="187"/>
      <c r="C415" s="187"/>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row>
    <row r="416" ht="12.75" customHeight="1">
      <c r="A416" s="186"/>
      <c r="B416" s="187"/>
      <c r="C416" s="187"/>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row>
    <row r="417" ht="12.75" customHeight="1">
      <c r="A417" s="186"/>
      <c r="B417" s="187"/>
      <c r="C417" s="187"/>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row>
    <row r="418" ht="12.75" customHeight="1">
      <c r="A418" s="186"/>
      <c r="B418" s="187"/>
      <c r="C418" s="187"/>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row>
    <row r="419" ht="12.75" customHeight="1">
      <c r="A419" s="186"/>
      <c r="B419" s="187"/>
      <c r="C419" s="187"/>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row>
    <row r="420" ht="12.75" customHeight="1">
      <c r="A420" s="186"/>
      <c r="B420" s="187"/>
      <c r="C420" s="187"/>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row>
    <row r="421" ht="12.75" customHeight="1">
      <c r="A421" s="186"/>
      <c r="B421" s="187"/>
      <c r="C421" s="187"/>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row>
    <row r="422" ht="12.75" customHeight="1">
      <c r="A422" s="186"/>
      <c r="B422" s="187"/>
      <c r="C422" s="187"/>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row>
    <row r="423" ht="12.75" customHeight="1">
      <c r="A423" s="186"/>
      <c r="B423" s="187"/>
      <c r="C423" s="187"/>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row>
    <row r="424" ht="12.75" customHeight="1">
      <c r="A424" s="186"/>
      <c r="B424" s="187"/>
      <c r="C424" s="187"/>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row>
    <row r="425" ht="12.75" customHeight="1">
      <c r="A425" s="186"/>
      <c r="B425" s="187"/>
      <c r="C425" s="187"/>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row>
    <row r="426" ht="12.75" customHeight="1">
      <c r="A426" s="186"/>
      <c r="B426" s="187"/>
      <c r="C426" s="187"/>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row>
    <row r="427" ht="12.75" customHeight="1">
      <c r="A427" s="186"/>
      <c r="B427" s="187"/>
      <c r="C427" s="187"/>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row>
    <row r="428" ht="12.75" customHeight="1">
      <c r="A428" s="186"/>
      <c r="B428" s="187"/>
      <c r="C428" s="187"/>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row>
    <row r="429" ht="12.75" customHeight="1">
      <c r="A429" s="186"/>
      <c r="B429" s="187"/>
      <c r="C429" s="187"/>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row>
    <row r="430" ht="12.75" customHeight="1">
      <c r="A430" s="186"/>
      <c r="B430" s="187"/>
      <c r="C430" s="187"/>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row>
    <row r="431" ht="12.75" customHeight="1">
      <c r="A431" s="186"/>
      <c r="B431" s="187"/>
      <c r="C431" s="187"/>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row>
    <row r="432" ht="12.75" customHeight="1">
      <c r="A432" s="186"/>
      <c r="B432" s="187"/>
      <c r="C432" s="187"/>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row>
    <row r="433" ht="12.75" customHeight="1">
      <c r="A433" s="186"/>
      <c r="B433" s="187"/>
      <c r="C433" s="187"/>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row>
    <row r="434" ht="12.75" customHeight="1">
      <c r="A434" s="186"/>
      <c r="B434" s="187"/>
      <c r="C434" s="187"/>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row>
    <row r="435" ht="12.75" customHeight="1">
      <c r="A435" s="186"/>
      <c r="B435" s="187"/>
      <c r="C435" s="187"/>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row>
    <row r="436" ht="12.75" customHeight="1">
      <c r="A436" s="186"/>
      <c r="B436" s="187"/>
      <c r="C436" s="187"/>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row>
    <row r="437" ht="12.75" customHeight="1">
      <c r="A437" s="186"/>
      <c r="B437" s="187"/>
      <c r="C437" s="187"/>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row>
    <row r="438" ht="12.75" customHeight="1">
      <c r="A438" s="186"/>
      <c r="B438" s="187"/>
      <c r="C438" s="187"/>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row>
    <row r="439" ht="12.75" customHeight="1">
      <c r="A439" s="186"/>
      <c r="B439" s="187"/>
      <c r="C439" s="187"/>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row>
    <row r="440" ht="12.75" customHeight="1">
      <c r="A440" s="186"/>
      <c r="B440" s="187"/>
      <c r="C440" s="187"/>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row>
    <row r="441" ht="12.75" customHeight="1">
      <c r="A441" s="186"/>
      <c r="B441" s="187"/>
      <c r="C441" s="187"/>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row>
    <row r="442" ht="12.75" customHeight="1">
      <c r="A442" s="186"/>
      <c r="B442" s="187"/>
      <c r="C442" s="187"/>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row>
    <row r="443" ht="12.75" customHeight="1">
      <c r="A443" s="186"/>
      <c r="B443" s="187"/>
      <c r="C443" s="187"/>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row>
    <row r="444" ht="12.75" customHeight="1">
      <c r="A444" s="186"/>
      <c r="B444" s="187"/>
      <c r="C444" s="187"/>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row>
    <row r="445" ht="12.75" customHeight="1">
      <c r="A445" s="186"/>
      <c r="B445" s="187"/>
      <c r="C445" s="187"/>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row>
    <row r="446" ht="12.75" customHeight="1">
      <c r="A446" s="186"/>
      <c r="B446" s="187"/>
      <c r="C446" s="187"/>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row>
    <row r="447" ht="12.75" customHeight="1">
      <c r="A447" s="186"/>
      <c r="B447" s="187"/>
      <c r="C447" s="187"/>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row>
    <row r="448" ht="12.75" customHeight="1">
      <c r="A448" s="186"/>
      <c r="B448" s="187"/>
      <c r="C448" s="187"/>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row>
    <row r="449" ht="12.75" customHeight="1">
      <c r="A449" s="186"/>
      <c r="B449" s="187"/>
      <c r="C449" s="187"/>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row>
    <row r="450" ht="12.75" customHeight="1">
      <c r="A450" s="186"/>
      <c r="B450" s="187"/>
      <c r="C450" s="187"/>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row>
    <row r="451" ht="12.75" customHeight="1">
      <c r="A451" s="186"/>
      <c r="B451" s="187"/>
      <c r="C451" s="187"/>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row>
    <row r="452" ht="12.75" customHeight="1">
      <c r="A452" s="186"/>
      <c r="B452" s="187"/>
      <c r="C452" s="187"/>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row>
    <row r="453" ht="12.75" customHeight="1">
      <c r="A453" s="186"/>
      <c r="B453" s="187"/>
      <c r="C453" s="187"/>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row>
    <row r="454" ht="12.75" customHeight="1">
      <c r="A454" s="186"/>
      <c r="B454" s="187"/>
      <c r="C454" s="187"/>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row>
    <row r="455" ht="12.75" customHeight="1">
      <c r="A455" s="186"/>
      <c r="B455" s="187"/>
      <c r="C455" s="187"/>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row>
    <row r="456" ht="12.75" customHeight="1">
      <c r="A456" s="186"/>
      <c r="B456" s="187"/>
      <c r="C456" s="187"/>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row>
    <row r="457" ht="12.75" customHeight="1">
      <c r="A457" s="186"/>
      <c r="B457" s="187"/>
      <c r="C457" s="187"/>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row>
    <row r="458" ht="12.75" customHeight="1">
      <c r="A458" s="186"/>
      <c r="B458" s="187"/>
      <c r="C458" s="187"/>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row>
    <row r="459" ht="12.75" customHeight="1">
      <c r="A459" s="186"/>
      <c r="B459" s="187"/>
      <c r="C459" s="187"/>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row>
    <row r="460" ht="12.75" customHeight="1">
      <c r="A460" s="186"/>
      <c r="B460" s="187"/>
      <c r="C460" s="187"/>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row>
    <row r="461" ht="12.75" customHeight="1">
      <c r="A461" s="186"/>
      <c r="B461" s="187"/>
      <c r="C461" s="187"/>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row>
    <row r="462" ht="12.75" customHeight="1">
      <c r="A462" s="186"/>
      <c r="B462" s="187"/>
      <c r="C462" s="187"/>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row>
    <row r="463" ht="12.75" customHeight="1">
      <c r="A463" s="186"/>
      <c r="B463" s="187"/>
      <c r="C463" s="187"/>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row>
    <row r="464" ht="12.75" customHeight="1">
      <c r="A464" s="186"/>
      <c r="B464" s="187"/>
      <c r="C464" s="187"/>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row>
    <row r="465" ht="12.75" customHeight="1">
      <c r="A465" s="186"/>
      <c r="B465" s="187"/>
      <c r="C465" s="187"/>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row>
    <row r="466" ht="12.75" customHeight="1">
      <c r="A466" s="186"/>
      <c r="B466" s="187"/>
      <c r="C466" s="187"/>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row>
    <row r="467" ht="12.75" customHeight="1">
      <c r="A467" s="186"/>
      <c r="B467" s="187"/>
      <c r="C467" s="187"/>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row>
    <row r="468" ht="12.75" customHeight="1">
      <c r="A468" s="186"/>
      <c r="B468" s="187"/>
      <c r="C468" s="187"/>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row>
    <row r="469" ht="12.75" customHeight="1">
      <c r="A469" s="186"/>
      <c r="B469" s="187"/>
      <c r="C469" s="187"/>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row>
    <row r="470" ht="12.75" customHeight="1">
      <c r="A470" s="186"/>
      <c r="B470" s="187"/>
      <c r="C470" s="187"/>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row>
    <row r="471" ht="12.75" customHeight="1">
      <c r="A471" s="186"/>
      <c r="B471" s="187"/>
      <c r="C471" s="187"/>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row>
    <row r="472" ht="12.75" customHeight="1">
      <c r="A472" s="186"/>
      <c r="B472" s="187"/>
      <c r="C472" s="187"/>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row>
    <row r="473" ht="12.75" customHeight="1">
      <c r="A473" s="186"/>
      <c r="B473" s="187"/>
      <c r="C473" s="187"/>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row>
    <row r="474" ht="12.75" customHeight="1">
      <c r="A474" s="186"/>
      <c r="B474" s="187"/>
      <c r="C474" s="187"/>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row>
    <row r="475" ht="12.75" customHeight="1">
      <c r="A475" s="186"/>
      <c r="B475" s="187"/>
      <c r="C475" s="187"/>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row>
    <row r="476" ht="12.75" customHeight="1">
      <c r="A476" s="186"/>
      <c r="B476" s="187"/>
      <c r="C476" s="187"/>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row>
    <row r="477" ht="12.75" customHeight="1">
      <c r="A477" s="186"/>
      <c r="B477" s="187"/>
      <c r="C477" s="187"/>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row>
    <row r="478" ht="12.75" customHeight="1">
      <c r="A478" s="186"/>
      <c r="B478" s="187"/>
      <c r="C478" s="187"/>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row>
    <row r="479" ht="12.75" customHeight="1">
      <c r="A479" s="186"/>
      <c r="B479" s="187"/>
      <c r="C479" s="187"/>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row>
    <row r="480" ht="12.75" customHeight="1">
      <c r="A480" s="186"/>
      <c r="B480" s="187"/>
      <c r="C480" s="187"/>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row>
    <row r="481" ht="12.75" customHeight="1">
      <c r="A481" s="186"/>
      <c r="B481" s="187"/>
      <c r="C481" s="187"/>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row>
    <row r="482" ht="12.75" customHeight="1">
      <c r="A482" s="186"/>
      <c r="B482" s="187"/>
      <c r="C482" s="187"/>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row>
    <row r="483" ht="12.75" customHeight="1">
      <c r="A483" s="186"/>
      <c r="B483" s="187"/>
      <c r="C483" s="187"/>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row>
    <row r="484" ht="12.75" customHeight="1">
      <c r="A484" s="186"/>
      <c r="B484" s="187"/>
      <c r="C484" s="187"/>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row>
    <row r="485" ht="12.75" customHeight="1">
      <c r="A485" s="186"/>
      <c r="B485" s="187"/>
      <c r="C485" s="187"/>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row>
    <row r="486" ht="12.75" customHeight="1">
      <c r="A486" s="186"/>
      <c r="B486" s="187"/>
      <c r="C486" s="187"/>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row>
    <row r="487" ht="12.75" customHeight="1">
      <c r="A487" s="186"/>
      <c r="B487" s="187"/>
      <c r="C487" s="187"/>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row>
    <row r="488" ht="12.75" customHeight="1">
      <c r="A488" s="186"/>
      <c r="B488" s="187"/>
      <c r="C488" s="187"/>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row>
    <row r="489" ht="12.75" customHeight="1">
      <c r="A489" s="186"/>
      <c r="B489" s="187"/>
      <c r="C489" s="187"/>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row>
    <row r="490" ht="12.75" customHeight="1">
      <c r="A490" s="186"/>
      <c r="B490" s="187"/>
      <c r="C490" s="187"/>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row>
    <row r="491" ht="12.75" customHeight="1">
      <c r="A491" s="186"/>
      <c r="B491" s="187"/>
      <c r="C491" s="187"/>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row>
    <row r="492" ht="12.75" customHeight="1">
      <c r="A492" s="186"/>
      <c r="B492" s="187"/>
      <c r="C492" s="187"/>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row>
    <row r="493" ht="12.75" customHeight="1">
      <c r="A493" s="186"/>
      <c r="B493" s="187"/>
      <c r="C493" s="187"/>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row>
    <row r="494" ht="12.75" customHeight="1">
      <c r="A494" s="186"/>
      <c r="B494" s="187"/>
      <c r="C494" s="187"/>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row>
    <row r="495" ht="12.75" customHeight="1">
      <c r="A495" s="186"/>
      <c r="B495" s="187"/>
      <c r="C495" s="187"/>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row>
    <row r="496" ht="12.75" customHeight="1">
      <c r="A496" s="186"/>
      <c r="B496" s="187"/>
      <c r="C496" s="187"/>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row>
    <row r="497" ht="12.75" customHeight="1">
      <c r="A497" s="186"/>
      <c r="B497" s="187"/>
      <c r="C497" s="187"/>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row>
    <row r="498" ht="12.75" customHeight="1">
      <c r="A498" s="186"/>
      <c r="B498" s="187"/>
      <c r="C498" s="187"/>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row>
    <row r="499" ht="12.75" customHeight="1">
      <c r="A499" s="186"/>
      <c r="B499" s="187"/>
      <c r="C499" s="187"/>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row>
    <row r="500" ht="12.75" customHeight="1">
      <c r="A500" s="186"/>
      <c r="B500" s="187"/>
      <c r="C500" s="187"/>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row>
    <row r="501" ht="12.75" customHeight="1">
      <c r="A501" s="186"/>
      <c r="B501" s="187"/>
      <c r="C501" s="187"/>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row>
    <row r="502" ht="12.75" customHeight="1">
      <c r="A502" s="186"/>
      <c r="B502" s="187"/>
      <c r="C502" s="187"/>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row>
    <row r="503" ht="12.75" customHeight="1">
      <c r="A503" s="186"/>
      <c r="B503" s="187"/>
      <c r="C503" s="187"/>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row>
    <row r="504" ht="12.75" customHeight="1">
      <c r="A504" s="186"/>
      <c r="B504" s="187"/>
      <c r="C504" s="187"/>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row>
    <row r="505" ht="12.75" customHeight="1">
      <c r="A505" s="186"/>
      <c r="B505" s="187"/>
      <c r="C505" s="187"/>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row>
    <row r="506" ht="12.75" customHeight="1">
      <c r="A506" s="186"/>
      <c r="B506" s="187"/>
      <c r="C506" s="187"/>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row>
    <row r="507" ht="12.75" customHeight="1">
      <c r="A507" s="186"/>
      <c r="B507" s="187"/>
      <c r="C507" s="187"/>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row>
    <row r="508" ht="12.75" customHeight="1">
      <c r="A508" s="186"/>
      <c r="B508" s="187"/>
      <c r="C508" s="187"/>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row>
    <row r="509" ht="12.75" customHeight="1">
      <c r="A509" s="186"/>
      <c r="B509" s="187"/>
      <c r="C509" s="187"/>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row>
    <row r="510" ht="12.75" customHeight="1">
      <c r="A510" s="186"/>
      <c r="B510" s="187"/>
      <c r="C510" s="187"/>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row>
    <row r="511" ht="12.75" customHeight="1">
      <c r="A511" s="186"/>
      <c r="B511" s="187"/>
      <c r="C511" s="187"/>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row>
    <row r="512" ht="12.75" customHeight="1">
      <c r="A512" s="186"/>
      <c r="B512" s="187"/>
      <c r="C512" s="187"/>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row>
    <row r="513" ht="12.75" customHeight="1">
      <c r="A513" s="186"/>
      <c r="B513" s="187"/>
      <c r="C513" s="187"/>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row>
    <row r="514" ht="12.75" customHeight="1">
      <c r="A514" s="186"/>
      <c r="B514" s="187"/>
      <c r="C514" s="187"/>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row>
    <row r="515" ht="12.75" customHeight="1">
      <c r="A515" s="186"/>
      <c r="B515" s="187"/>
      <c r="C515" s="187"/>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row>
    <row r="516" ht="12.75" customHeight="1">
      <c r="A516" s="186"/>
      <c r="B516" s="187"/>
      <c r="C516" s="187"/>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row>
    <row r="517" ht="12.75" customHeight="1">
      <c r="A517" s="186"/>
      <c r="B517" s="187"/>
      <c r="C517" s="187"/>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row>
    <row r="518" ht="12.75" customHeight="1">
      <c r="A518" s="186"/>
      <c r="B518" s="187"/>
      <c r="C518" s="187"/>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row>
    <row r="519" ht="12.75" customHeight="1">
      <c r="A519" s="186"/>
      <c r="B519" s="187"/>
      <c r="C519" s="187"/>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row>
    <row r="520" ht="12.75" customHeight="1">
      <c r="A520" s="186"/>
      <c r="B520" s="187"/>
      <c r="C520" s="187"/>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row>
    <row r="521" ht="12.75" customHeight="1">
      <c r="A521" s="186"/>
      <c r="B521" s="187"/>
      <c r="C521" s="187"/>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row>
    <row r="522" ht="12.75" customHeight="1">
      <c r="A522" s="186"/>
      <c r="B522" s="187"/>
      <c r="C522" s="187"/>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row>
    <row r="523" ht="12.75" customHeight="1">
      <c r="A523" s="186"/>
      <c r="B523" s="187"/>
      <c r="C523" s="187"/>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row>
    <row r="524" ht="12.75" customHeight="1">
      <c r="A524" s="186"/>
      <c r="B524" s="187"/>
      <c r="C524" s="187"/>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row>
    <row r="525" ht="12.75" customHeight="1">
      <c r="A525" s="186"/>
      <c r="B525" s="187"/>
      <c r="C525" s="187"/>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row>
    <row r="526" ht="12.75" customHeight="1">
      <c r="A526" s="186"/>
      <c r="B526" s="187"/>
      <c r="C526" s="187"/>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row>
    <row r="527" ht="12.75" customHeight="1">
      <c r="A527" s="186"/>
      <c r="B527" s="187"/>
      <c r="C527" s="187"/>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row>
    <row r="528" ht="12.75" customHeight="1">
      <c r="A528" s="186"/>
      <c r="B528" s="187"/>
      <c r="C528" s="187"/>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row>
    <row r="529" ht="12.75" customHeight="1">
      <c r="A529" s="186"/>
      <c r="B529" s="187"/>
      <c r="C529" s="187"/>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row>
    <row r="530" ht="12.75" customHeight="1">
      <c r="A530" s="186"/>
      <c r="B530" s="187"/>
      <c r="C530" s="187"/>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row>
    <row r="531" ht="12.75" customHeight="1">
      <c r="A531" s="186"/>
      <c r="B531" s="187"/>
      <c r="C531" s="187"/>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row>
    <row r="532" ht="12.75" customHeight="1">
      <c r="A532" s="186"/>
      <c r="B532" s="187"/>
      <c r="C532" s="187"/>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row>
    <row r="533" ht="12.75" customHeight="1">
      <c r="A533" s="186"/>
      <c r="B533" s="187"/>
      <c r="C533" s="187"/>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row>
    <row r="534" ht="12.75" customHeight="1">
      <c r="A534" s="186"/>
      <c r="B534" s="187"/>
      <c r="C534" s="187"/>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row>
    <row r="535" ht="12.75" customHeight="1">
      <c r="A535" s="186"/>
      <c r="B535" s="187"/>
      <c r="C535" s="187"/>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row>
    <row r="536" ht="12.75" customHeight="1">
      <c r="A536" s="186"/>
      <c r="B536" s="187"/>
      <c r="C536" s="187"/>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row>
    <row r="537" ht="12.75" customHeight="1">
      <c r="A537" s="186"/>
      <c r="B537" s="187"/>
      <c r="C537" s="187"/>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row>
    <row r="538" ht="12.75" customHeight="1">
      <c r="A538" s="186"/>
      <c r="B538" s="187"/>
      <c r="C538" s="187"/>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row>
    <row r="539" ht="12.75" customHeight="1">
      <c r="A539" s="186"/>
      <c r="B539" s="187"/>
      <c r="C539" s="187"/>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row>
    <row r="540" ht="12.75" customHeight="1">
      <c r="A540" s="186"/>
      <c r="B540" s="187"/>
      <c r="C540" s="187"/>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row>
    <row r="541" ht="12.75" customHeight="1">
      <c r="A541" s="186"/>
      <c r="B541" s="187"/>
      <c r="C541" s="187"/>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row>
    <row r="542" ht="12.75" customHeight="1">
      <c r="A542" s="186"/>
      <c r="B542" s="187"/>
      <c r="C542" s="187"/>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row>
    <row r="543" ht="12.75" customHeight="1">
      <c r="A543" s="186"/>
      <c r="B543" s="187"/>
      <c r="C543" s="187"/>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row>
    <row r="544" ht="12.75" customHeight="1">
      <c r="A544" s="186"/>
      <c r="B544" s="187"/>
      <c r="C544" s="187"/>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row>
    <row r="545" ht="12.75" customHeight="1">
      <c r="A545" s="186"/>
      <c r="B545" s="187"/>
      <c r="C545" s="187"/>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row>
    <row r="546" ht="12.75" customHeight="1">
      <c r="A546" s="186"/>
      <c r="B546" s="187"/>
      <c r="C546" s="187"/>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row>
    <row r="547" ht="12.75" customHeight="1">
      <c r="A547" s="186"/>
      <c r="B547" s="187"/>
      <c r="C547" s="187"/>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row>
    <row r="548" ht="12.75" customHeight="1">
      <c r="A548" s="186"/>
      <c r="B548" s="187"/>
      <c r="C548" s="187"/>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row>
    <row r="549" ht="12.75" customHeight="1">
      <c r="A549" s="186"/>
      <c r="B549" s="187"/>
      <c r="C549" s="187"/>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row>
    <row r="550" ht="12.75" customHeight="1">
      <c r="A550" s="186"/>
      <c r="B550" s="187"/>
      <c r="C550" s="187"/>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row>
    <row r="551" ht="12.75" customHeight="1">
      <c r="A551" s="186"/>
      <c r="B551" s="187"/>
      <c r="C551" s="187"/>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row>
    <row r="552" ht="12.75" customHeight="1">
      <c r="A552" s="186"/>
      <c r="B552" s="187"/>
      <c r="C552" s="187"/>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row>
    <row r="553" ht="12.75" customHeight="1">
      <c r="A553" s="186"/>
      <c r="B553" s="187"/>
      <c r="C553" s="187"/>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row>
    <row r="554" ht="12.75" customHeight="1">
      <c r="A554" s="186"/>
      <c r="B554" s="187"/>
      <c r="C554" s="187"/>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row>
    <row r="555" ht="12.75" customHeight="1">
      <c r="A555" s="186"/>
      <c r="B555" s="187"/>
      <c r="C555" s="187"/>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row>
    <row r="556" ht="12.75" customHeight="1">
      <c r="A556" s="186"/>
      <c r="B556" s="187"/>
      <c r="C556" s="187"/>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row>
    <row r="557" ht="12.75" customHeight="1">
      <c r="A557" s="186"/>
      <c r="B557" s="187"/>
      <c r="C557" s="187"/>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row>
    <row r="558" ht="12.75" customHeight="1">
      <c r="A558" s="186"/>
      <c r="B558" s="187"/>
      <c r="C558" s="187"/>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row>
    <row r="559" ht="12.75" customHeight="1">
      <c r="A559" s="186"/>
      <c r="B559" s="187"/>
      <c r="C559" s="187"/>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row>
    <row r="560" ht="12.75" customHeight="1">
      <c r="A560" s="186"/>
      <c r="B560" s="187"/>
      <c r="C560" s="187"/>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row>
    <row r="561" ht="12.75" customHeight="1">
      <c r="A561" s="186"/>
      <c r="B561" s="187"/>
      <c r="C561" s="187"/>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row>
    <row r="562" ht="12.75" customHeight="1">
      <c r="A562" s="186"/>
      <c r="B562" s="187"/>
      <c r="C562" s="187"/>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row>
    <row r="563" ht="12.75" customHeight="1">
      <c r="A563" s="186"/>
      <c r="B563" s="187"/>
      <c r="C563" s="187"/>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row>
    <row r="564" ht="12.75" customHeight="1">
      <c r="A564" s="186"/>
      <c r="B564" s="187"/>
      <c r="C564" s="187"/>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row>
    <row r="565" ht="12.75" customHeight="1">
      <c r="A565" s="186"/>
      <c r="B565" s="187"/>
      <c r="C565" s="187"/>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row>
    <row r="566" ht="12.75" customHeight="1">
      <c r="A566" s="186"/>
      <c r="B566" s="187"/>
      <c r="C566" s="187"/>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row>
    <row r="567" ht="12.75" customHeight="1">
      <c r="A567" s="186"/>
      <c r="B567" s="187"/>
      <c r="C567" s="187"/>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row>
    <row r="568" ht="12.75" customHeight="1">
      <c r="A568" s="186"/>
      <c r="B568" s="187"/>
      <c r="C568" s="187"/>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row>
    <row r="569" ht="12.75" customHeight="1">
      <c r="A569" s="186"/>
      <c r="B569" s="187"/>
      <c r="C569" s="187"/>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row>
    <row r="570" ht="12.75" customHeight="1">
      <c r="A570" s="186"/>
      <c r="B570" s="187"/>
      <c r="C570" s="187"/>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row>
    <row r="571" ht="12.75" customHeight="1">
      <c r="A571" s="186"/>
      <c r="B571" s="187"/>
      <c r="C571" s="187"/>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row>
    <row r="572" ht="12.75" customHeight="1">
      <c r="A572" s="186"/>
      <c r="B572" s="187"/>
      <c r="C572" s="187"/>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row>
    <row r="573" ht="12.75" customHeight="1">
      <c r="A573" s="186"/>
      <c r="B573" s="187"/>
      <c r="C573" s="187"/>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row>
    <row r="574" ht="12.75" customHeight="1">
      <c r="A574" s="186"/>
      <c r="B574" s="187"/>
      <c r="C574" s="187"/>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row>
    <row r="575" ht="12.75" customHeight="1">
      <c r="A575" s="186"/>
      <c r="B575" s="187"/>
      <c r="C575" s="187"/>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row>
    <row r="576" ht="12.75" customHeight="1">
      <c r="A576" s="186"/>
      <c r="B576" s="187"/>
      <c r="C576" s="187"/>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row>
    <row r="577" ht="12.75" customHeight="1">
      <c r="A577" s="186"/>
      <c r="B577" s="187"/>
      <c r="C577" s="187"/>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row>
    <row r="578" ht="12.75" customHeight="1">
      <c r="A578" s="186"/>
      <c r="B578" s="187"/>
      <c r="C578" s="187"/>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row>
    <row r="579" ht="12.75" customHeight="1">
      <c r="A579" s="186"/>
      <c r="B579" s="187"/>
      <c r="C579" s="187"/>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row>
    <row r="580" ht="12.75" customHeight="1">
      <c r="A580" s="186"/>
      <c r="B580" s="187"/>
      <c r="C580" s="187"/>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row>
    <row r="581" ht="12.75" customHeight="1">
      <c r="A581" s="186"/>
      <c r="B581" s="187"/>
      <c r="C581" s="187"/>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row>
    <row r="582" ht="12.75" customHeight="1">
      <c r="A582" s="186"/>
      <c r="B582" s="187"/>
      <c r="C582" s="187"/>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row>
    <row r="583" ht="12.75" customHeight="1">
      <c r="A583" s="186"/>
      <c r="B583" s="187"/>
      <c r="C583" s="187"/>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row>
    <row r="584" ht="12.75" customHeight="1">
      <c r="A584" s="186"/>
      <c r="B584" s="187"/>
      <c r="C584" s="187"/>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row>
    <row r="585" ht="12.75" customHeight="1">
      <c r="A585" s="186"/>
      <c r="B585" s="187"/>
      <c r="C585" s="187"/>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row>
    <row r="586" ht="12.75" customHeight="1">
      <c r="A586" s="186"/>
      <c r="B586" s="187"/>
      <c r="C586" s="187"/>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row>
    <row r="587" ht="12.75" customHeight="1">
      <c r="A587" s="186"/>
      <c r="B587" s="187"/>
      <c r="C587" s="187"/>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row>
    <row r="588" ht="12.75" customHeight="1">
      <c r="A588" s="186"/>
      <c r="B588" s="187"/>
      <c r="C588" s="187"/>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row>
    <row r="589" ht="12.75" customHeight="1">
      <c r="A589" s="186"/>
      <c r="B589" s="187"/>
      <c r="C589" s="187"/>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row>
    <row r="590" ht="12.75" customHeight="1">
      <c r="A590" s="186"/>
      <c r="B590" s="187"/>
      <c r="C590" s="187"/>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row>
    <row r="591" ht="12.75" customHeight="1">
      <c r="A591" s="186"/>
      <c r="B591" s="187"/>
      <c r="C591" s="187"/>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row>
    <row r="592" ht="12.75" customHeight="1">
      <c r="A592" s="186"/>
      <c r="B592" s="187"/>
      <c r="C592" s="187"/>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row>
    <row r="593" ht="12.75" customHeight="1">
      <c r="A593" s="186"/>
      <c r="B593" s="187"/>
      <c r="C593" s="187"/>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row>
    <row r="594" ht="12.75" customHeight="1">
      <c r="A594" s="186"/>
      <c r="B594" s="187"/>
      <c r="C594" s="187"/>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row>
    <row r="595" ht="12.75" customHeight="1">
      <c r="A595" s="186"/>
      <c r="B595" s="187"/>
      <c r="C595" s="187"/>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row>
    <row r="596" ht="12.75" customHeight="1">
      <c r="A596" s="186"/>
      <c r="B596" s="187"/>
      <c r="C596" s="187"/>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row>
    <row r="597" ht="12.75" customHeight="1">
      <c r="A597" s="186"/>
      <c r="B597" s="187"/>
      <c r="C597" s="187"/>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row>
    <row r="598" ht="12.75" customHeight="1">
      <c r="A598" s="186"/>
      <c r="B598" s="187"/>
      <c r="C598" s="187"/>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row>
    <row r="599" ht="12.75" customHeight="1">
      <c r="A599" s="186"/>
      <c r="B599" s="187"/>
      <c r="C599" s="187"/>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row>
    <row r="600" ht="12.75" customHeight="1">
      <c r="A600" s="186"/>
      <c r="B600" s="187"/>
      <c r="C600" s="187"/>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row>
    <row r="601" ht="12.75" customHeight="1">
      <c r="A601" s="186"/>
      <c r="B601" s="187"/>
      <c r="C601" s="187"/>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row>
    <row r="602" ht="12.75" customHeight="1">
      <c r="A602" s="186"/>
      <c r="B602" s="187"/>
      <c r="C602" s="187"/>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row>
    <row r="603" ht="12.75" customHeight="1">
      <c r="A603" s="186"/>
      <c r="B603" s="187"/>
      <c r="C603" s="187"/>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row>
    <row r="604" ht="12.75" customHeight="1">
      <c r="A604" s="186"/>
      <c r="B604" s="187"/>
      <c r="C604" s="187"/>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row>
    <row r="605" ht="12.75" customHeight="1">
      <c r="A605" s="186"/>
      <c r="B605" s="187"/>
      <c r="C605" s="187"/>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row>
    <row r="606" ht="12.75" customHeight="1">
      <c r="A606" s="186"/>
      <c r="B606" s="187"/>
      <c r="C606" s="187"/>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row>
    <row r="607" ht="12.75" customHeight="1">
      <c r="A607" s="186"/>
      <c r="B607" s="187"/>
      <c r="C607" s="187"/>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row>
    <row r="608" ht="12.75" customHeight="1">
      <c r="A608" s="186"/>
      <c r="B608" s="187"/>
      <c r="C608" s="187"/>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row>
    <row r="609" ht="12.75" customHeight="1">
      <c r="A609" s="186"/>
      <c r="B609" s="187"/>
      <c r="C609" s="187"/>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row>
    <row r="610" ht="12.75" customHeight="1">
      <c r="A610" s="186"/>
      <c r="B610" s="187"/>
      <c r="C610" s="187"/>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row>
    <row r="611" ht="12.75" customHeight="1">
      <c r="A611" s="186"/>
      <c r="B611" s="187"/>
      <c r="C611" s="187"/>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row>
    <row r="612" ht="12.75" customHeight="1">
      <c r="A612" s="186"/>
      <c r="B612" s="187"/>
      <c r="C612" s="187"/>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row>
    <row r="613" ht="12.75" customHeight="1">
      <c r="A613" s="186"/>
      <c r="B613" s="187"/>
      <c r="C613" s="187"/>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row>
    <row r="614" ht="12.75" customHeight="1">
      <c r="A614" s="186"/>
      <c r="B614" s="187"/>
      <c r="C614" s="187"/>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row>
    <row r="615" ht="12.75" customHeight="1">
      <c r="A615" s="186"/>
      <c r="B615" s="187"/>
      <c r="C615" s="187"/>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row>
    <row r="616" ht="12.75" customHeight="1">
      <c r="A616" s="186"/>
      <c r="B616" s="187"/>
      <c r="C616" s="187"/>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row>
    <row r="617" ht="12.75" customHeight="1">
      <c r="A617" s="186"/>
      <c r="B617" s="187"/>
      <c r="C617" s="187"/>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row>
    <row r="618" ht="12.75" customHeight="1">
      <c r="A618" s="186"/>
      <c r="B618" s="187"/>
      <c r="C618" s="187"/>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row>
    <row r="619" ht="12.75" customHeight="1">
      <c r="A619" s="186"/>
      <c r="B619" s="187"/>
      <c r="C619" s="187"/>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row>
    <row r="620" ht="12.75" customHeight="1">
      <c r="A620" s="186"/>
      <c r="B620" s="187"/>
      <c r="C620" s="187"/>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row>
    <row r="621" ht="12.75" customHeight="1">
      <c r="A621" s="186"/>
      <c r="B621" s="187"/>
      <c r="C621" s="187"/>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row>
    <row r="622" ht="12.75" customHeight="1">
      <c r="A622" s="186"/>
      <c r="B622" s="187"/>
      <c r="C622" s="187"/>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row>
    <row r="623" ht="12.75" customHeight="1">
      <c r="A623" s="186"/>
      <c r="B623" s="187"/>
      <c r="C623" s="187"/>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row>
    <row r="624" ht="12.75" customHeight="1">
      <c r="A624" s="186"/>
      <c r="B624" s="187"/>
      <c r="C624" s="187"/>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row>
    <row r="625" ht="12.75" customHeight="1">
      <c r="A625" s="186"/>
      <c r="B625" s="187"/>
      <c r="C625" s="187"/>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row>
    <row r="626" ht="12.75" customHeight="1">
      <c r="A626" s="186"/>
      <c r="B626" s="187"/>
      <c r="C626" s="187"/>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row>
    <row r="627" ht="12.75" customHeight="1">
      <c r="A627" s="186"/>
      <c r="B627" s="187"/>
      <c r="C627" s="187"/>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row>
    <row r="628" ht="12.75" customHeight="1">
      <c r="A628" s="186"/>
      <c r="B628" s="187"/>
      <c r="C628" s="187"/>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row>
    <row r="629" ht="12.75" customHeight="1">
      <c r="A629" s="186"/>
      <c r="B629" s="187"/>
      <c r="C629" s="187"/>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row>
    <row r="630" ht="12.75" customHeight="1">
      <c r="A630" s="186"/>
      <c r="B630" s="187"/>
      <c r="C630" s="187"/>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row>
    <row r="631" ht="12.75" customHeight="1">
      <c r="A631" s="186"/>
      <c r="B631" s="187"/>
      <c r="C631" s="187"/>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row>
    <row r="632" ht="12.75" customHeight="1">
      <c r="A632" s="186"/>
      <c r="B632" s="187"/>
      <c r="C632" s="187"/>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row>
    <row r="633" ht="12.75" customHeight="1">
      <c r="A633" s="186"/>
      <c r="B633" s="187"/>
      <c r="C633" s="187"/>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row>
    <row r="634" ht="12.75" customHeight="1">
      <c r="A634" s="186"/>
      <c r="B634" s="187"/>
      <c r="C634" s="187"/>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row>
    <row r="635" ht="12.75" customHeight="1">
      <c r="A635" s="186"/>
      <c r="B635" s="187"/>
      <c r="C635" s="187"/>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row>
    <row r="636" ht="12.75" customHeight="1">
      <c r="A636" s="186"/>
      <c r="B636" s="187"/>
      <c r="C636" s="187"/>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row>
    <row r="637" ht="12.75" customHeight="1">
      <c r="A637" s="186"/>
      <c r="B637" s="187"/>
      <c r="C637" s="187"/>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row>
    <row r="638" ht="12.75" customHeight="1">
      <c r="A638" s="186"/>
      <c r="B638" s="187"/>
      <c r="C638" s="187"/>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row>
    <row r="639" ht="12.75" customHeight="1">
      <c r="A639" s="186"/>
      <c r="B639" s="187"/>
      <c r="C639" s="187"/>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row>
    <row r="640" ht="12.75" customHeight="1">
      <c r="A640" s="186"/>
      <c r="B640" s="187"/>
      <c r="C640" s="187"/>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row>
    <row r="641" ht="12.75" customHeight="1">
      <c r="A641" s="186"/>
      <c r="B641" s="187"/>
      <c r="C641" s="187"/>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row>
    <row r="642" ht="12.75" customHeight="1">
      <c r="A642" s="186"/>
      <c r="B642" s="187"/>
      <c r="C642" s="187"/>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row>
    <row r="643" ht="12.75" customHeight="1">
      <c r="A643" s="186"/>
      <c r="B643" s="187"/>
      <c r="C643" s="187"/>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row>
    <row r="644" ht="12.75" customHeight="1">
      <c r="A644" s="186"/>
      <c r="B644" s="187"/>
      <c r="C644" s="187"/>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row>
    <row r="645" ht="12.75" customHeight="1">
      <c r="A645" s="186"/>
      <c r="B645" s="187"/>
      <c r="C645" s="187"/>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row>
    <row r="646" ht="12.75" customHeight="1">
      <c r="A646" s="186"/>
      <c r="B646" s="187"/>
      <c r="C646" s="187"/>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row>
    <row r="647" ht="12.75" customHeight="1">
      <c r="A647" s="186"/>
      <c r="B647" s="187"/>
      <c r="C647" s="187"/>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row>
    <row r="648" ht="12.75" customHeight="1">
      <c r="A648" s="186"/>
      <c r="B648" s="187"/>
      <c r="C648" s="187"/>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row>
    <row r="649" ht="12.75" customHeight="1">
      <c r="A649" s="186"/>
      <c r="B649" s="187"/>
      <c r="C649" s="187"/>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row>
    <row r="650" ht="12.75" customHeight="1">
      <c r="A650" s="186"/>
      <c r="B650" s="187"/>
      <c r="C650" s="187"/>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row>
    <row r="651" ht="12.75" customHeight="1">
      <c r="A651" s="186"/>
      <c r="B651" s="187"/>
      <c r="C651" s="187"/>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row>
    <row r="652" ht="12.75" customHeight="1">
      <c r="A652" s="186"/>
      <c r="B652" s="187"/>
      <c r="C652" s="187"/>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row>
    <row r="653" ht="12.75" customHeight="1">
      <c r="A653" s="186"/>
      <c r="B653" s="187"/>
      <c r="C653" s="187"/>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row>
    <row r="654" ht="12.75" customHeight="1">
      <c r="A654" s="186"/>
      <c r="B654" s="187"/>
      <c r="C654" s="187"/>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row>
    <row r="655" ht="12.75" customHeight="1">
      <c r="A655" s="186"/>
      <c r="B655" s="187"/>
      <c r="C655" s="187"/>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row>
    <row r="656" ht="12.75" customHeight="1">
      <c r="A656" s="186"/>
      <c r="B656" s="187"/>
      <c r="C656" s="187"/>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row>
    <row r="657" ht="12.75" customHeight="1">
      <c r="A657" s="186"/>
      <c r="B657" s="187"/>
      <c r="C657" s="187"/>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row>
    <row r="658" ht="12.75" customHeight="1">
      <c r="A658" s="186"/>
      <c r="B658" s="187"/>
      <c r="C658" s="187"/>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row>
    <row r="659" ht="12.75" customHeight="1">
      <c r="A659" s="186"/>
      <c r="B659" s="187"/>
      <c r="C659" s="187"/>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row>
    <row r="660" ht="12.75" customHeight="1">
      <c r="A660" s="186"/>
      <c r="B660" s="187"/>
      <c r="C660" s="187"/>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row>
    <row r="661" ht="12.75" customHeight="1">
      <c r="A661" s="186"/>
      <c r="B661" s="187"/>
      <c r="C661" s="187"/>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row>
    <row r="662" ht="12.75" customHeight="1">
      <c r="A662" s="186"/>
      <c r="B662" s="187"/>
      <c r="C662" s="187"/>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row>
    <row r="663" ht="12.75" customHeight="1">
      <c r="A663" s="186"/>
      <c r="B663" s="187"/>
      <c r="C663" s="187"/>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row>
    <row r="664" ht="12.75" customHeight="1">
      <c r="A664" s="186"/>
      <c r="B664" s="187"/>
      <c r="C664" s="187"/>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row>
    <row r="665" ht="12.75" customHeight="1">
      <c r="A665" s="186"/>
      <c r="B665" s="187"/>
      <c r="C665" s="187"/>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row>
    <row r="666" ht="12.75" customHeight="1">
      <c r="A666" s="186"/>
      <c r="B666" s="187"/>
      <c r="C666" s="187"/>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row>
    <row r="667" ht="12.75" customHeight="1">
      <c r="A667" s="186"/>
      <c r="B667" s="187"/>
      <c r="C667" s="187"/>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row>
    <row r="668" ht="12.75" customHeight="1">
      <c r="A668" s="186"/>
      <c r="B668" s="187"/>
      <c r="C668" s="187"/>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row>
    <row r="669" ht="12.75" customHeight="1">
      <c r="A669" s="186"/>
      <c r="B669" s="187"/>
      <c r="C669" s="187"/>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row>
    <row r="670" ht="12.75" customHeight="1">
      <c r="A670" s="186"/>
      <c r="B670" s="187"/>
      <c r="C670" s="187"/>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row>
    <row r="671" ht="12.75" customHeight="1">
      <c r="A671" s="186"/>
      <c r="B671" s="187"/>
      <c r="C671" s="187"/>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row>
    <row r="672" ht="12.75" customHeight="1">
      <c r="A672" s="186"/>
      <c r="B672" s="187"/>
      <c r="C672" s="187"/>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row>
    <row r="673" ht="12.75" customHeight="1">
      <c r="A673" s="186"/>
      <c r="B673" s="187"/>
      <c r="C673" s="187"/>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row>
    <row r="674" ht="12.75" customHeight="1">
      <c r="A674" s="186"/>
      <c r="B674" s="187"/>
      <c r="C674" s="187"/>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row>
    <row r="675" ht="12.75" customHeight="1">
      <c r="A675" s="186"/>
      <c r="B675" s="187"/>
      <c r="C675" s="187"/>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row>
    <row r="676" ht="12.75" customHeight="1">
      <c r="A676" s="186"/>
      <c r="B676" s="187"/>
      <c r="C676" s="187"/>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row>
    <row r="677" ht="12.75" customHeight="1">
      <c r="A677" s="186"/>
      <c r="B677" s="187"/>
      <c r="C677" s="187"/>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row>
    <row r="678" ht="12.75" customHeight="1">
      <c r="A678" s="186"/>
      <c r="B678" s="187"/>
      <c r="C678" s="187"/>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row>
    <row r="679" ht="12.75" customHeight="1">
      <c r="A679" s="186"/>
      <c r="B679" s="187"/>
      <c r="C679" s="187"/>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row>
    <row r="680" ht="12.75" customHeight="1">
      <c r="A680" s="186"/>
      <c r="B680" s="187"/>
      <c r="C680" s="187"/>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row>
    <row r="681" ht="12.75" customHeight="1">
      <c r="A681" s="186"/>
      <c r="B681" s="187"/>
      <c r="C681" s="187"/>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row>
    <row r="682" ht="12.75" customHeight="1">
      <c r="A682" s="186"/>
      <c r="B682" s="187"/>
      <c r="C682" s="187"/>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row>
    <row r="683" ht="12.75" customHeight="1">
      <c r="A683" s="186"/>
      <c r="B683" s="187"/>
      <c r="C683" s="187"/>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row>
    <row r="684" ht="12.75" customHeight="1">
      <c r="A684" s="186"/>
      <c r="B684" s="187"/>
      <c r="C684" s="187"/>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row>
    <row r="685" ht="12.75" customHeight="1">
      <c r="A685" s="186"/>
      <c r="B685" s="187"/>
      <c r="C685" s="187"/>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row>
    <row r="686" ht="12.75" customHeight="1">
      <c r="A686" s="186"/>
      <c r="B686" s="187"/>
      <c r="C686" s="187"/>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row>
    <row r="687" ht="12.75" customHeight="1">
      <c r="A687" s="186"/>
      <c r="B687" s="187"/>
      <c r="C687" s="187"/>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row>
    <row r="688" ht="12.75" customHeight="1">
      <c r="A688" s="186"/>
      <c r="B688" s="187"/>
      <c r="C688" s="187"/>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row>
    <row r="689" ht="12.75" customHeight="1">
      <c r="A689" s="186"/>
      <c r="B689" s="187"/>
      <c r="C689" s="187"/>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row>
    <row r="690" ht="12.75" customHeight="1">
      <c r="A690" s="186"/>
      <c r="B690" s="187"/>
      <c r="C690" s="187"/>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row>
    <row r="691" ht="12.75" customHeight="1">
      <c r="A691" s="186"/>
      <c r="B691" s="187"/>
      <c r="C691" s="187"/>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row>
    <row r="692" ht="12.75" customHeight="1">
      <c r="A692" s="186"/>
      <c r="B692" s="187"/>
      <c r="C692" s="187"/>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row>
    <row r="693" ht="12.75" customHeight="1">
      <c r="A693" s="186"/>
      <c r="B693" s="187"/>
      <c r="C693" s="187"/>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row>
    <row r="694" ht="12.75" customHeight="1">
      <c r="A694" s="186"/>
      <c r="B694" s="187"/>
      <c r="C694" s="187"/>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row>
    <row r="695" ht="12.75" customHeight="1">
      <c r="A695" s="186"/>
      <c r="B695" s="187"/>
      <c r="C695" s="187"/>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row>
    <row r="696" ht="12.75" customHeight="1">
      <c r="A696" s="186"/>
      <c r="B696" s="187"/>
      <c r="C696" s="187"/>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row>
    <row r="697" ht="12.75" customHeight="1">
      <c r="A697" s="186"/>
      <c r="B697" s="187"/>
      <c r="C697" s="187"/>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row>
    <row r="698" ht="12.75" customHeight="1">
      <c r="A698" s="186"/>
      <c r="B698" s="187"/>
      <c r="C698" s="187"/>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row>
    <row r="699" ht="12.75" customHeight="1">
      <c r="A699" s="186"/>
      <c r="B699" s="187"/>
      <c r="C699" s="187"/>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row>
    <row r="700" ht="12.75" customHeight="1">
      <c r="A700" s="186"/>
      <c r="B700" s="187"/>
      <c r="C700" s="187"/>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row>
    <row r="701" ht="12.75" customHeight="1">
      <c r="A701" s="186"/>
      <c r="B701" s="187"/>
      <c r="C701" s="187"/>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row>
    <row r="702" ht="12.75" customHeight="1">
      <c r="A702" s="186"/>
      <c r="B702" s="187"/>
      <c r="C702" s="187"/>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row>
    <row r="703" ht="12.75" customHeight="1">
      <c r="A703" s="186"/>
      <c r="B703" s="187"/>
      <c r="C703" s="187"/>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row>
    <row r="704" ht="12.75" customHeight="1">
      <c r="A704" s="186"/>
      <c r="B704" s="187"/>
      <c r="C704" s="187"/>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row>
    <row r="705" ht="12.75" customHeight="1">
      <c r="A705" s="186"/>
      <c r="B705" s="187"/>
      <c r="C705" s="187"/>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row>
    <row r="706" ht="12.75" customHeight="1">
      <c r="A706" s="186"/>
      <c r="B706" s="187"/>
      <c r="C706" s="187"/>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row>
    <row r="707" ht="12.75" customHeight="1">
      <c r="A707" s="186"/>
      <c r="B707" s="187"/>
      <c r="C707" s="187"/>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row>
    <row r="708" ht="12.75" customHeight="1">
      <c r="A708" s="186"/>
      <c r="B708" s="187"/>
      <c r="C708" s="187"/>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row>
    <row r="709" ht="12.75" customHeight="1">
      <c r="A709" s="186"/>
      <c r="B709" s="187"/>
      <c r="C709" s="187"/>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row>
    <row r="710" ht="12.75" customHeight="1">
      <c r="A710" s="186"/>
      <c r="B710" s="187"/>
      <c r="C710" s="187"/>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row>
    <row r="711" ht="12.75" customHeight="1">
      <c r="A711" s="186"/>
      <c r="B711" s="187"/>
      <c r="C711" s="187"/>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row>
    <row r="712" ht="12.75" customHeight="1">
      <c r="A712" s="186"/>
      <c r="B712" s="187"/>
      <c r="C712" s="187"/>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row>
    <row r="713" ht="12.75" customHeight="1">
      <c r="A713" s="186"/>
      <c r="B713" s="187"/>
      <c r="C713" s="187"/>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row>
    <row r="714" ht="12.75" customHeight="1">
      <c r="A714" s="186"/>
      <c r="B714" s="187"/>
      <c r="C714" s="187"/>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row>
    <row r="715" ht="12.75" customHeight="1">
      <c r="A715" s="186"/>
      <c r="B715" s="187"/>
      <c r="C715" s="187"/>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row>
    <row r="716" ht="12.75" customHeight="1">
      <c r="A716" s="186"/>
      <c r="B716" s="187"/>
      <c r="C716" s="187"/>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row>
    <row r="717" ht="12.75" customHeight="1">
      <c r="A717" s="186"/>
      <c r="B717" s="187"/>
      <c r="C717" s="187"/>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row>
    <row r="718" ht="12.75" customHeight="1">
      <c r="A718" s="186"/>
      <c r="B718" s="187"/>
      <c r="C718" s="187"/>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row>
    <row r="719" ht="12.75" customHeight="1">
      <c r="A719" s="186"/>
      <c r="B719" s="187"/>
      <c r="C719" s="187"/>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row>
    <row r="720" ht="12.75" customHeight="1">
      <c r="A720" s="186"/>
      <c r="B720" s="187"/>
      <c r="C720" s="187"/>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row>
    <row r="721" ht="12.75" customHeight="1">
      <c r="A721" s="186"/>
      <c r="B721" s="187"/>
      <c r="C721" s="187"/>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row>
    <row r="722" ht="12.75" customHeight="1">
      <c r="A722" s="186"/>
      <c r="B722" s="187"/>
      <c r="C722" s="187"/>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row>
    <row r="723" ht="12.75" customHeight="1">
      <c r="A723" s="186"/>
      <c r="B723" s="187"/>
      <c r="C723" s="187"/>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row>
    <row r="724" ht="12.75" customHeight="1">
      <c r="A724" s="186"/>
      <c r="B724" s="187"/>
      <c r="C724" s="187"/>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row>
    <row r="725" ht="12.75" customHeight="1">
      <c r="A725" s="186"/>
      <c r="B725" s="187"/>
      <c r="C725" s="187"/>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row>
    <row r="726" ht="12.75" customHeight="1">
      <c r="A726" s="186"/>
      <c r="B726" s="187"/>
      <c r="C726" s="187"/>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row>
    <row r="727" ht="12.75" customHeight="1">
      <c r="A727" s="186"/>
      <c r="B727" s="187"/>
      <c r="C727" s="187"/>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row>
    <row r="728" ht="12.75" customHeight="1">
      <c r="A728" s="186"/>
      <c r="B728" s="187"/>
      <c r="C728" s="187"/>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row>
    <row r="729" ht="12.75" customHeight="1">
      <c r="A729" s="186"/>
      <c r="B729" s="187"/>
      <c r="C729" s="187"/>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row>
    <row r="730" ht="12.75" customHeight="1">
      <c r="A730" s="186"/>
      <c r="B730" s="187"/>
      <c r="C730" s="187"/>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row>
    <row r="731" ht="12.75" customHeight="1">
      <c r="A731" s="186"/>
      <c r="B731" s="187"/>
      <c r="C731" s="187"/>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row>
    <row r="732" ht="12.75" customHeight="1">
      <c r="A732" s="186"/>
      <c r="B732" s="187"/>
      <c r="C732" s="187"/>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row>
    <row r="733" ht="12.75" customHeight="1">
      <c r="A733" s="186"/>
      <c r="B733" s="187"/>
      <c r="C733" s="187"/>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row>
    <row r="734" ht="12.75" customHeight="1">
      <c r="A734" s="186"/>
      <c r="B734" s="187"/>
      <c r="C734" s="187"/>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row>
    <row r="735" ht="12.75" customHeight="1">
      <c r="A735" s="186"/>
      <c r="B735" s="187"/>
      <c r="C735" s="187"/>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row>
    <row r="736" ht="12.75" customHeight="1">
      <c r="A736" s="186"/>
      <c r="B736" s="187"/>
      <c r="C736" s="187"/>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row>
    <row r="737" ht="12.75" customHeight="1">
      <c r="A737" s="186"/>
      <c r="B737" s="187"/>
      <c r="C737" s="187"/>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row>
    <row r="738" ht="12.75" customHeight="1">
      <c r="A738" s="186"/>
      <c r="B738" s="187"/>
      <c r="C738" s="187"/>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row>
    <row r="739" ht="12.75" customHeight="1">
      <c r="A739" s="186"/>
      <c r="B739" s="187"/>
      <c r="C739" s="187"/>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row>
    <row r="740" ht="12.75" customHeight="1">
      <c r="A740" s="186"/>
      <c r="B740" s="187"/>
      <c r="C740" s="187"/>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row>
    <row r="741" ht="12.75" customHeight="1">
      <c r="A741" s="186"/>
      <c r="B741" s="187"/>
      <c r="C741" s="187"/>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row>
    <row r="742" ht="12.75" customHeight="1">
      <c r="A742" s="186"/>
      <c r="B742" s="187"/>
      <c r="C742" s="187"/>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row>
    <row r="743" ht="12.75" customHeight="1">
      <c r="A743" s="186"/>
      <c r="B743" s="187"/>
      <c r="C743" s="187"/>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row>
    <row r="744" ht="12.75" customHeight="1">
      <c r="A744" s="186"/>
      <c r="B744" s="187"/>
      <c r="C744" s="187"/>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row>
    <row r="745" ht="12.75" customHeight="1">
      <c r="A745" s="186"/>
      <c r="B745" s="187"/>
      <c r="C745" s="187"/>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row>
    <row r="746" ht="12.75" customHeight="1">
      <c r="A746" s="186"/>
      <c r="B746" s="187"/>
      <c r="C746" s="187"/>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row>
    <row r="747" ht="12.75" customHeight="1">
      <c r="A747" s="186"/>
      <c r="B747" s="187"/>
      <c r="C747" s="187"/>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row>
    <row r="748" ht="12.75" customHeight="1">
      <c r="A748" s="186"/>
      <c r="B748" s="187"/>
      <c r="C748" s="187"/>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row>
    <row r="749" ht="12.75" customHeight="1">
      <c r="A749" s="186"/>
      <c r="B749" s="187"/>
      <c r="C749" s="187"/>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row>
    <row r="750" ht="12.75" customHeight="1">
      <c r="A750" s="186"/>
      <c r="B750" s="187"/>
      <c r="C750" s="187"/>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row>
    <row r="751" ht="12.75" customHeight="1">
      <c r="A751" s="186"/>
      <c r="B751" s="187"/>
      <c r="C751" s="187"/>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row>
    <row r="752" ht="12.75" customHeight="1">
      <c r="A752" s="186"/>
      <c r="B752" s="187"/>
      <c r="C752" s="187"/>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row>
    <row r="753" ht="12.75" customHeight="1">
      <c r="A753" s="186"/>
      <c r="B753" s="187"/>
      <c r="C753" s="187"/>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row>
    <row r="754" ht="12.75" customHeight="1">
      <c r="A754" s="186"/>
      <c r="B754" s="187"/>
      <c r="C754" s="187"/>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row>
    <row r="755" ht="12.75" customHeight="1">
      <c r="A755" s="186"/>
      <c r="B755" s="187"/>
      <c r="C755" s="187"/>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row>
    <row r="756" ht="12.75" customHeight="1">
      <c r="A756" s="186"/>
      <c r="B756" s="187"/>
      <c r="C756" s="187"/>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row>
    <row r="757" ht="12.75" customHeight="1">
      <c r="A757" s="186"/>
      <c r="B757" s="187"/>
      <c r="C757" s="187"/>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row>
    <row r="758" ht="12.75" customHeight="1">
      <c r="A758" s="186"/>
      <c r="B758" s="187"/>
      <c r="C758" s="187"/>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row>
    <row r="759" ht="12.75" customHeight="1">
      <c r="A759" s="186"/>
      <c r="B759" s="187"/>
      <c r="C759" s="187"/>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row>
    <row r="760" ht="12.75" customHeight="1">
      <c r="A760" s="186"/>
      <c r="B760" s="187"/>
      <c r="C760" s="187"/>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row>
    <row r="761" ht="12.75" customHeight="1">
      <c r="A761" s="186"/>
      <c r="B761" s="187"/>
      <c r="C761" s="187"/>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row>
    <row r="762" ht="12.75" customHeight="1">
      <c r="A762" s="186"/>
      <c r="B762" s="187"/>
      <c r="C762" s="187"/>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row>
    <row r="763" ht="12.75" customHeight="1">
      <c r="A763" s="186"/>
      <c r="B763" s="187"/>
      <c r="C763" s="187"/>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row>
    <row r="764" ht="12.75" customHeight="1">
      <c r="A764" s="186"/>
      <c r="B764" s="187"/>
      <c r="C764" s="187"/>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row>
    <row r="765" ht="12.75" customHeight="1">
      <c r="A765" s="186"/>
      <c r="B765" s="187"/>
      <c r="C765" s="187"/>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row>
    <row r="766" ht="12.75" customHeight="1">
      <c r="A766" s="186"/>
      <c r="B766" s="187"/>
      <c r="C766" s="187"/>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row>
    <row r="767" ht="12.75" customHeight="1">
      <c r="A767" s="186"/>
      <c r="B767" s="187"/>
      <c r="C767" s="187"/>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row>
    <row r="768" ht="12.75" customHeight="1">
      <c r="A768" s="186"/>
      <c r="B768" s="187"/>
      <c r="C768" s="187"/>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row>
    <row r="769" ht="12.75" customHeight="1">
      <c r="A769" s="186"/>
      <c r="B769" s="187"/>
      <c r="C769" s="187"/>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row>
    <row r="770" ht="12.75" customHeight="1">
      <c r="A770" s="186"/>
      <c r="B770" s="187"/>
      <c r="C770" s="187"/>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row>
    <row r="771" ht="12.75" customHeight="1">
      <c r="A771" s="186"/>
      <c r="B771" s="187"/>
      <c r="C771" s="187"/>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row>
    <row r="772" ht="12.75" customHeight="1">
      <c r="A772" s="186"/>
      <c r="B772" s="187"/>
      <c r="C772" s="187"/>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row>
    <row r="773" ht="12.75" customHeight="1">
      <c r="A773" s="186"/>
      <c r="B773" s="187"/>
      <c r="C773" s="187"/>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row>
    <row r="774" ht="12.75" customHeight="1">
      <c r="A774" s="186"/>
      <c r="B774" s="187"/>
      <c r="C774" s="187"/>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row>
    <row r="775" ht="12.75" customHeight="1">
      <c r="A775" s="186"/>
      <c r="B775" s="187"/>
      <c r="C775" s="187"/>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row>
    <row r="776" ht="12.75" customHeight="1">
      <c r="A776" s="186"/>
      <c r="B776" s="187"/>
      <c r="C776" s="187"/>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row>
    <row r="777" ht="12.75" customHeight="1">
      <c r="A777" s="186"/>
      <c r="B777" s="187"/>
      <c r="C777" s="187"/>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row>
    <row r="778" ht="12.75" customHeight="1">
      <c r="A778" s="186"/>
      <c r="B778" s="187"/>
      <c r="C778" s="187"/>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row>
    <row r="779" ht="12.75" customHeight="1">
      <c r="A779" s="186"/>
      <c r="B779" s="187"/>
      <c r="C779" s="187"/>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row>
    <row r="780" ht="12.75" customHeight="1">
      <c r="A780" s="186"/>
      <c r="B780" s="187"/>
      <c r="C780" s="187"/>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row>
    <row r="781" ht="12.75" customHeight="1">
      <c r="A781" s="186"/>
      <c r="B781" s="187"/>
      <c r="C781" s="187"/>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row>
    <row r="782" ht="12.75" customHeight="1">
      <c r="A782" s="186"/>
      <c r="B782" s="187"/>
      <c r="C782" s="187"/>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row>
    <row r="783" ht="12.75" customHeight="1">
      <c r="A783" s="186"/>
      <c r="B783" s="187"/>
      <c r="C783" s="187"/>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row>
    <row r="784" ht="12.75" customHeight="1">
      <c r="A784" s="186"/>
      <c r="B784" s="187"/>
      <c r="C784" s="187"/>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row>
    <row r="785" ht="12.75" customHeight="1">
      <c r="A785" s="186"/>
      <c r="B785" s="187"/>
      <c r="C785" s="187"/>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row>
    <row r="786" ht="12.75" customHeight="1">
      <c r="A786" s="186"/>
      <c r="B786" s="187"/>
      <c r="C786" s="187"/>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row>
    <row r="787" ht="12.75" customHeight="1">
      <c r="A787" s="186"/>
      <c r="B787" s="187"/>
      <c r="C787" s="187"/>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row>
    <row r="788" ht="12.75" customHeight="1">
      <c r="A788" s="186"/>
      <c r="B788" s="187"/>
      <c r="C788" s="187"/>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row>
    <row r="789" ht="12.75" customHeight="1">
      <c r="A789" s="186"/>
      <c r="B789" s="187"/>
      <c r="C789" s="187"/>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row>
    <row r="790" ht="12.75" customHeight="1">
      <c r="A790" s="186"/>
      <c r="B790" s="187"/>
      <c r="C790" s="187"/>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row>
    <row r="791" ht="12.75" customHeight="1">
      <c r="A791" s="186"/>
      <c r="B791" s="187"/>
      <c r="C791" s="187"/>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row>
    <row r="792" ht="12.75" customHeight="1">
      <c r="A792" s="186"/>
      <c r="B792" s="187"/>
      <c r="C792" s="187"/>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row>
    <row r="793" ht="12.75" customHeight="1">
      <c r="A793" s="186"/>
      <c r="B793" s="187"/>
      <c r="C793" s="187"/>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row>
    <row r="794" ht="12.75" customHeight="1">
      <c r="A794" s="186"/>
      <c r="B794" s="187"/>
      <c r="C794" s="187"/>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row>
    <row r="795" ht="12.75" customHeight="1">
      <c r="A795" s="186"/>
      <c r="B795" s="187"/>
      <c r="C795" s="187"/>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row>
    <row r="796" ht="12.75" customHeight="1">
      <c r="A796" s="186"/>
      <c r="B796" s="187"/>
      <c r="C796" s="187"/>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row>
    <row r="797" ht="12.75" customHeight="1">
      <c r="A797" s="186"/>
      <c r="B797" s="187"/>
      <c r="C797" s="187"/>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row>
    <row r="798" ht="12.75" customHeight="1">
      <c r="A798" s="186"/>
      <c r="B798" s="187"/>
      <c r="C798" s="187"/>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row>
    <row r="799" ht="12.75" customHeight="1">
      <c r="A799" s="186"/>
      <c r="B799" s="187"/>
      <c r="C799" s="187"/>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row>
    <row r="800" ht="12.75" customHeight="1">
      <c r="A800" s="186"/>
      <c r="B800" s="187"/>
      <c r="C800" s="187"/>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row>
    <row r="801" ht="12.75" customHeight="1">
      <c r="A801" s="186"/>
      <c r="B801" s="187"/>
      <c r="C801" s="187"/>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row>
    <row r="802" ht="12.75" customHeight="1">
      <c r="A802" s="186"/>
      <c r="B802" s="187"/>
      <c r="C802" s="187"/>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row>
    <row r="803" ht="12.75" customHeight="1">
      <c r="A803" s="186"/>
      <c r="B803" s="187"/>
      <c r="C803" s="187"/>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row>
    <row r="804" ht="12.75" customHeight="1">
      <c r="A804" s="186"/>
      <c r="B804" s="187"/>
      <c r="C804" s="187"/>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row>
    <row r="805" ht="12.75" customHeight="1">
      <c r="A805" s="186"/>
      <c r="B805" s="187"/>
      <c r="C805" s="187"/>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row>
    <row r="806" ht="12.75" customHeight="1">
      <c r="A806" s="186"/>
      <c r="B806" s="187"/>
      <c r="C806" s="187"/>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row>
    <row r="807" ht="12.75" customHeight="1">
      <c r="A807" s="186"/>
      <c r="B807" s="187"/>
      <c r="C807" s="187"/>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row>
    <row r="808" ht="12.75" customHeight="1">
      <c r="A808" s="186"/>
      <c r="B808" s="187"/>
      <c r="C808" s="187"/>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row>
    <row r="809" ht="12.75" customHeight="1">
      <c r="A809" s="186"/>
      <c r="B809" s="187"/>
      <c r="C809" s="187"/>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row>
    <row r="810" ht="12.75" customHeight="1">
      <c r="A810" s="186"/>
      <c r="B810" s="187"/>
      <c r="C810" s="187"/>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row>
    <row r="811" ht="12.75" customHeight="1">
      <c r="A811" s="186"/>
      <c r="B811" s="187"/>
      <c r="C811" s="187"/>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row>
    <row r="812" ht="12.75" customHeight="1">
      <c r="A812" s="186"/>
      <c r="B812" s="187"/>
      <c r="C812" s="187"/>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row>
    <row r="813" ht="12.75" customHeight="1">
      <c r="A813" s="186"/>
      <c r="B813" s="187"/>
      <c r="C813" s="187"/>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row>
    <row r="814" ht="12.75" customHeight="1">
      <c r="A814" s="186"/>
      <c r="B814" s="187"/>
      <c r="C814" s="187"/>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row>
    <row r="815" ht="12.75" customHeight="1">
      <c r="A815" s="186"/>
      <c r="B815" s="187"/>
      <c r="C815" s="187"/>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row>
    <row r="816" ht="12.75" customHeight="1">
      <c r="A816" s="186"/>
      <c r="B816" s="187"/>
      <c r="C816" s="187"/>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row>
    <row r="817" ht="12.75" customHeight="1">
      <c r="A817" s="186"/>
      <c r="B817" s="187"/>
      <c r="C817" s="187"/>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row>
    <row r="818" ht="12.75" customHeight="1">
      <c r="A818" s="186"/>
      <c r="B818" s="187"/>
      <c r="C818" s="187"/>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row>
    <row r="819" ht="12.75" customHeight="1">
      <c r="A819" s="186"/>
      <c r="B819" s="187"/>
      <c r="C819" s="187"/>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row>
    <row r="820" ht="12.75" customHeight="1">
      <c r="A820" s="186"/>
      <c r="B820" s="187"/>
      <c r="C820" s="187"/>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row>
    <row r="821" ht="12.75" customHeight="1">
      <c r="A821" s="186"/>
      <c r="B821" s="187"/>
      <c r="C821" s="187"/>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row>
    <row r="822" ht="12.75" customHeight="1">
      <c r="A822" s="186"/>
      <c r="B822" s="187"/>
      <c r="C822" s="187"/>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row>
    <row r="823" ht="12.75" customHeight="1">
      <c r="A823" s="186"/>
      <c r="B823" s="187"/>
      <c r="C823" s="187"/>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row>
    <row r="824" ht="12.75" customHeight="1">
      <c r="A824" s="186"/>
      <c r="B824" s="187"/>
      <c r="C824" s="187"/>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row>
    <row r="825" ht="12.75" customHeight="1">
      <c r="A825" s="186"/>
      <c r="B825" s="187"/>
      <c r="C825" s="187"/>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row>
    <row r="826" ht="12.75" customHeight="1">
      <c r="A826" s="186"/>
      <c r="B826" s="187"/>
      <c r="C826" s="187"/>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row>
    <row r="827" ht="12.75" customHeight="1">
      <c r="A827" s="186"/>
      <c r="B827" s="187"/>
      <c r="C827" s="187"/>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row>
    <row r="828" ht="12.75" customHeight="1">
      <c r="A828" s="186"/>
      <c r="B828" s="187"/>
      <c r="C828" s="187"/>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row>
    <row r="829" ht="12.75" customHeight="1">
      <c r="A829" s="186"/>
      <c r="B829" s="187"/>
      <c r="C829" s="187"/>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row>
    <row r="830" ht="12.75" customHeight="1">
      <c r="A830" s="186"/>
      <c r="B830" s="187"/>
      <c r="C830" s="187"/>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row>
    <row r="831" ht="12.75" customHeight="1">
      <c r="A831" s="186"/>
      <c r="B831" s="187"/>
      <c r="C831" s="187"/>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row>
    <row r="832" ht="12.75" customHeight="1">
      <c r="A832" s="186"/>
      <c r="B832" s="187"/>
      <c r="C832" s="187"/>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row>
    <row r="833" ht="12.75" customHeight="1">
      <c r="A833" s="186"/>
      <c r="B833" s="187"/>
      <c r="C833" s="187"/>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row>
    <row r="834" ht="12.75" customHeight="1">
      <c r="A834" s="186"/>
      <c r="B834" s="187"/>
      <c r="C834" s="187"/>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row>
    <row r="835" ht="12.75" customHeight="1">
      <c r="A835" s="186"/>
      <c r="B835" s="187"/>
      <c r="C835" s="187"/>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row>
    <row r="836" ht="12.75" customHeight="1">
      <c r="A836" s="186"/>
      <c r="B836" s="187"/>
      <c r="C836" s="187"/>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row>
    <row r="837" ht="12.75" customHeight="1">
      <c r="A837" s="186"/>
      <c r="B837" s="187"/>
      <c r="C837" s="187"/>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row>
    <row r="838" ht="12.75" customHeight="1">
      <c r="A838" s="186"/>
      <c r="B838" s="187"/>
      <c r="C838" s="187"/>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row>
    <row r="839" ht="12.75" customHeight="1">
      <c r="A839" s="186"/>
      <c r="B839" s="187"/>
      <c r="C839" s="187"/>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row>
    <row r="840" ht="12.75" customHeight="1">
      <c r="A840" s="186"/>
      <c r="B840" s="187"/>
      <c r="C840" s="187"/>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row>
    <row r="841" ht="12.75" customHeight="1">
      <c r="A841" s="186"/>
      <c r="B841" s="187"/>
      <c r="C841" s="187"/>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row>
    <row r="842" ht="12.75" customHeight="1">
      <c r="A842" s="186"/>
      <c r="B842" s="187"/>
      <c r="C842" s="187"/>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row>
    <row r="843" ht="12.75" customHeight="1">
      <c r="A843" s="186"/>
      <c r="B843" s="187"/>
      <c r="C843" s="187"/>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row>
    <row r="844" ht="12.75" customHeight="1">
      <c r="A844" s="186"/>
      <c r="B844" s="187"/>
      <c r="C844" s="187"/>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row>
    <row r="845" ht="12.75" customHeight="1">
      <c r="A845" s="186"/>
      <c r="B845" s="187"/>
      <c r="C845" s="187"/>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row>
    <row r="846" ht="12.75" customHeight="1">
      <c r="A846" s="186"/>
      <c r="B846" s="187"/>
      <c r="C846" s="187"/>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row>
    <row r="847" ht="12.75" customHeight="1">
      <c r="A847" s="186"/>
      <c r="B847" s="187"/>
      <c r="C847" s="187"/>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row>
    <row r="848" ht="12.75" customHeight="1">
      <c r="A848" s="186"/>
      <c r="B848" s="187"/>
      <c r="C848" s="187"/>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row>
    <row r="849" ht="12.75" customHeight="1">
      <c r="A849" s="186"/>
      <c r="B849" s="187"/>
      <c r="C849" s="187"/>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row>
    <row r="850" ht="12.75" customHeight="1">
      <c r="A850" s="186"/>
      <c r="B850" s="187"/>
      <c r="C850" s="187"/>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row>
    <row r="851" ht="12.75" customHeight="1">
      <c r="A851" s="186"/>
      <c r="B851" s="187"/>
      <c r="C851" s="187"/>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row>
    <row r="852" ht="12.75" customHeight="1">
      <c r="A852" s="186"/>
      <c r="B852" s="187"/>
      <c r="C852" s="187"/>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row>
    <row r="853" ht="12.75" customHeight="1">
      <c r="A853" s="186"/>
      <c r="B853" s="187"/>
      <c r="C853" s="187"/>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row>
    <row r="854" ht="12.75" customHeight="1">
      <c r="A854" s="186"/>
      <c r="B854" s="187"/>
      <c r="C854" s="187"/>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row>
    <row r="855" ht="12.75" customHeight="1">
      <c r="A855" s="186"/>
      <c r="B855" s="187"/>
      <c r="C855" s="187"/>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row>
    <row r="856" ht="12.75" customHeight="1">
      <c r="A856" s="186"/>
      <c r="B856" s="187"/>
      <c r="C856" s="187"/>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row>
    <row r="857" ht="12.75" customHeight="1">
      <c r="A857" s="186"/>
      <c r="B857" s="187"/>
      <c r="C857" s="187"/>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row>
    <row r="858" ht="12.75" customHeight="1">
      <c r="A858" s="186"/>
      <c r="B858" s="187"/>
      <c r="C858" s="187"/>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row>
    <row r="859" ht="12.75" customHeight="1">
      <c r="A859" s="186"/>
      <c r="B859" s="187"/>
      <c r="C859" s="187"/>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row>
    <row r="860" ht="12.75" customHeight="1">
      <c r="A860" s="186"/>
      <c r="B860" s="187"/>
      <c r="C860" s="187"/>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row>
    <row r="861" ht="12.75" customHeight="1">
      <c r="A861" s="186"/>
      <c r="B861" s="187"/>
      <c r="C861" s="187"/>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row>
    <row r="862" ht="12.75" customHeight="1">
      <c r="A862" s="186"/>
      <c r="B862" s="187"/>
      <c r="C862" s="187"/>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row>
    <row r="863" ht="12.75" customHeight="1">
      <c r="A863" s="186"/>
      <c r="B863" s="187"/>
      <c r="C863" s="187"/>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row>
    <row r="864" ht="12.75" customHeight="1">
      <c r="A864" s="186"/>
      <c r="B864" s="187"/>
      <c r="C864" s="187"/>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row>
    <row r="865" ht="12.75" customHeight="1">
      <c r="A865" s="186"/>
      <c r="B865" s="187"/>
      <c r="C865" s="187"/>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row>
    <row r="866" ht="12.75" customHeight="1">
      <c r="A866" s="186"/>
      <c r="B866" s="187"/>
      <c r="C866" s="187"/>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row>
    <row r="867" ht="12.75" customHeight="1">
      <c r="A867" s="186"/>
      <c r="B867" s="187"/>
      <c r="C867" s="187"/>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row>
    <row r="868" ht="12.75" customHeight="1">
      <c r="A868" s="186"/>
      <c r="B868" s="187"/>
      <c r="C868" s="187"/>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row>
    <row r="869" ht="12.75" customHeight="1">
      <c r="A869" s="186"/>
      <c r="B869" s="187"/>
      <c r="C869" s="187"/>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row>
    <row r="870" ht="12.75" customHeight="1">
      <c r="A870" s="186"/>
      <c r="B870" s="187"/>
      <c r="C870" s="187"/>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row>
    <row r="871" ht="12.75" customHeight="1">
      <c r="A871" s="186"/>
      <c r="B871" s="187"/>
      <c r="C871" s="187"/>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row>
    <row r="872" ht="12.75" customHeight="1">
      <c r="A872" s="186"/>
      <c r="B872" s="187"/>
      <c r="C872" s="187"/>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row>
    <row r="873" ht="12.75" customHeight="1">
      <c r="A873" s="186"/>
      <c r="B873" s="187"/>
      <c r="C873" s="187"/>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row>
    <row r="874" ht="12.75" customHeight="1">
      <c r="A874" s="186"/>
      <c r="B874" s="187"/>
      <c r="C874" s="187"/>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row>
    <row r="875" ht="12.75" customHeight="1">
      <c r="A875" s="186"/>
      <c r="B875" s="187"/>
      <c r="C875" s="187"/>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row>
    <row r="876" ht="12.75" customHeight="1">
      <c r="A876" s="186"/>
      <c r="B876" s="187"/>
      <c r="C876" s="187"/>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row>
    <row r="877" ht="12.75" customHeight="1">
      <c r="A877" s="186"/>
      <c r="B877" s="187"/>
      <c r="C877" s="187"/>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row>
    <row r="878" ht="12.75" customHeight="1">
      <c r="A878" s="186"/>
      <c r="B878" s="187"/>
      <c r="C878" s="187"/>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row>
    <row r="879" ht="12.75" customHeight="1">
      <c r="A879" s="186"/>
      <c r="B879" s="187"/>
      <c r="C879" s="187"/>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row>
    <row r="880" ht="12.75" customHeight="1">
      <c r="A880" s="186"/>
      <c r="B880" s="187"/>
      <c r="C880" s="187"/>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row>
    <row r="881" ht="12.75" customHeight="1">
      <c r="A881" s="186"/>
      <c r="B881" s="187"/>
      <c r="C881" s="187"/>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row>
    <row r="882" ht="12.75" customHeight="1">
      <c r="A882" s="186"/>
      <c r="B882" s="187"/>
      <c r="C882" s="187"/>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row>
    <row r="883" ht="12.75" customHeight="1">
      <c r="A883" s="186"/>
      <c r="B883" s="187"/>
      <c r="C883" s="187"/>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row>
    <row r="884" ht="12.75" customHeight="1">
      <c r="A884" s="186"/>
      <c r="B884" s="187"/>
      <c r="C884" s="187"/>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row>
    <row r="885" ht="12.75" customHeight="1">
      <c r="A885" s="186"/>
      <c r="B885" s="187"/>
      <c r="C885" s="187"/>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row>
    <row r="886" ht="12.75" customHeight="1">
      <c r="A886" s="186"/>
      <c r="B886" s="187"/>
      <c r="C886" s="187"/>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row>
    <row r="887" ht="12.75" customHeight="1">
      <c r="A887" s="186"/>
      <c r="B887" s="187"/>
      <c r="C887" s="187"/>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row>
    <row r="888" ht="12.75" customHeight="1">
      <c r="A888" s="186"/>
      <c r="B888" s="187"/>
      <c r="C888" s="187"/>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row>
    <row r="889" ht="12.75" customHeight="1">
      <c r="A889" s="186"/>
      <c r="B889" s="187"/>
      <c r="C889" s="187"/>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row>
    <row r="890" ht="12.75" customHeight="1">
      <c r="A890" s="186"/>
      <c r="B890" s="187"/>
      <c r="C890" s="187"/>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row>
    <row r="891" ht="12.75" customHeight="1">
      <c r="A891" s="186"/>
      <c r="B891" s="187"/>
      <c r="C891" s="187"/>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row>
    <row r="892" ht="12.75" customHeight="1">
      <c r="A892" s="186"/>
      <c r="B892" s="187"/>
      <c r="C892" s="187"/>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row>
    <row r="893" ht="12.75" customHeight="1">
      <c r="A893" s="186"/>
      <c r="B893" s="187"/>
      <c r="C893" s="187"/>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row>
    <row r="894" ht="12.75" customHeight="1">
      <c r="A894" s="186"/>
      <c r="B894" s="187"/>
      <c r="C894" s="187"/>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row>
    <row r="895" ht="12.75" customHeight="1">
      <c r="A895" s="186"/>
      <c r="B895" s="187"/>
      <c r="C895" s="187"/>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row>
    <row r="896" ht="12.75" customHeight="1">
      <c r="A896" s="186"/>
      <c r="B896" s="187"/>
      <c r="C896" s="187"/>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row>
    <row r="897" ht="12.75" customHeight="1">
      <c r="A897" s="186"/>
      <c r="B897" s="187"/>
      <c r="C897" s="187"/>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row>
    <row r="898" ht="12.75" customHeight="1">
      <c r="A898" s="186"/>
      <c r="B898" s="187"/>
      <c r="C898" s="187"/>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row>
    <row r="899" ht="12.75" customHeight="1">
      <c r="A899" s="186"/>
      <c r="B899" s="187"/>
      <c r="C899" s="187"/>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row>
    <row r="900" ht="12.75" customHeight="1">
      <c r="A900" s="186"/>
      <c r="B900" s="187"/>
      <c r="C900" s="187"/>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row>
    <row r="901" ht="12.75" customHeight="1">
      <c r="A901" s="186"/>
      <c r="B901" s="187"/>
      <c r="C901" s="187"/>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row>
    <row r="902" ht="12.75" customHeight="1">
      <c r="A902" s="186"/>
      <c r="B902" s="187"/>
      <c r="C902" s="187"/>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row>
    <row r="903" ht="12.75" customHeight="1">
      <c r="A903" s="186"/>
      <c r="B903" s="187"/>
      <c r="C903" s="187"/>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row>
    <row r="904" ht="12.75" customHeight="1">
      <c r="A904" s="186"/>
      <c r="B904" s="187"/>
      <c r="C904" s="187"/>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row>
    <row r="905" ht="12.75" customHeight="1">
      <c r="A905" s="186"/>
      <c r="B905" s="187"/>
      <c r="C905" s="187"/>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row>
    <row r="906" ht="12.75" customHeight="1">
      <c r="A906" s="186"/>
      <c r="B906" s="187"/>
      <c r="C906" s="187"/>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row>
    <row r="907" ht="12.75" customHeight="1">
      <c r="A907" s="186"/>
      <c r="B907" s="187"/>
      <c r="C907" s="187"/>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row>
    <row r="908" ht="12.75" customHeight="1">
      <c r="A908" s="186"/>
      <c r="B908" s="187"/>
      <c r="C908" s="187"/>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row>
    <row r="909" ht="12.75" customHeight="1">
      <c r="A909" s="186"/>
      <c r="B909" s="187"/>
      <c r="C909" s="187"/>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row>
    <row r="910" ht="12.75" customHeight="1">
      <c r="A910" s="186"/>
      <c r="B910" s="187"/>
      <c r="C910" s="187"/>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row>
    <row r="911" ht="12.75" customHeight="1">
      <c r="A911" s="186"/>
      <c r="B911" s="187"/>
      <c r="C911" s="187"/>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row>
    <row r="912" ht="12.75" customHeight="1">
      <c r="A912" s="186"/>
      <c r="B912" s="187"/>
      <c r="C912" s="187"/>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row>
    <row r="913" ht="12.75" customHeight="1">
      <c r="A913" s="186"/>
      <c r="B913" s="187"/>
      <c r="C913" s="187"/>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row>
    <row r="914" ht="12.75" customHeight="1">
      <c r="A914" s="186"/>
      <c r="B914" s="187"/>
      <c r="C914" s="187"/>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row>
    <row r="915" ht="12.75" customHeight="1">
      <c r="A915" s="186"/>
      <c r="B915" s="187"/>
      <c r="C915" s="187"/>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row>
    <row r="916" ht="12.75" customHeight="1">
      <c r="A916" s="186"/>
      <c r="B916" s="187"/>
      <c r="C916" s="187"/>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row>
    <row r="917" ht="12.75" customHeight="1">
      <c r="A917" s="186"/>
      <c r="B917" s="187"/>
      <c r="C917" s="187"/>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row>
    <row r="918" ht="12.75" customHeight="1">
      <c r="A918" s="186"/>
      <c r="B918" s="187"/>
      <c r="C918" s="187"/>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row>
    <row r="919" ht="12.75" customHeight="1">
      <c r="A919" s="186"/>
      <c r="B919" s="187"/>
      <c r="C919" s="187"/>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row>
    <row r="920" ht="12.75" customHeight="1">
      <c r="A920" s="186"/>
      <c r="B920" s="187"/>
      <c r="C920" s="187"/>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row>
    <row r="921" ht="12.75" customHeight="1">
      <c r="A921" s="186"/>
      <c r="B921" s="187"/>
      <c r="C921" s="187"/>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row>
    <row r="922" ht="12.75" customHeight="1">
      <c r="A922" s="186"/>
      <c r="B922" s="187"/>
      <c r="C922" s="187"/>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row>
    <row r="923" ht="12.75" customHeight="1">
      <c r="A923" s="186"/>
      <c r="B923" s="187"/>
      <c r="C923" s="187"/>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row>
    <row r="924" ht="12.75" customHeight="1">
      <c r="A924" s="186"/>
      <c r="B924" s="187"/>
      <c r="C924" s="187"/>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row>
    <row r="925" ht="12.75" customHeight="1">
      <c r="A925" s="186"/>
      <c r="B925" s="187"/>
      <c r="C925" s="187"/>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row>
    <row r="926" ht="12.75" customHeight="1">
      <c r="A926" s="186"/>
      <c r="B926" s="187"/>
      <c r="C926" s="187"/>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row>
    <row r="927" ht="12.75" customHeight="1">
      <c r="A927" s="186"/>
      <c r="B927" s="187"/>
      <c r="C927" s="187"/>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row>
    <row r="928" ht="12.75" customHeight="1">
      <c r="A928" s="186"/>
      <c r="B928" s="187"/>
      <c r="C928" s="187"/>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row>
    <row r="929" ht="12.75" customHeight="1">
      <c r="A929" s="186"/>
      <c r="B929" s="187"/>
      <c r="C929" s="187"/>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row>
    <row r="930" ht="12.75" customHeight="1">
      <c r="A930" s="186"/>
      <c r="B930" s="187"/>
      <c r="C930" s="187"/>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row>
    <row r="931" ht="12.75" customHeight="1">
      <c r="A931" s="186"/>
      <c r="B931" s="187"/>
      <c r="C931" s="187"/>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row>
    <row r="932" ht="12.75" customHeight="1">
      <c r="A932" s="186"/>
      <c r="B932" s="187"/>
      <c r="C932" s="187"/>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row>
    <row r="933" ht="12.75" customHeight="1">
      <c r="A933" s="186"/>
      <c r="B933" s="187"/>
      <c r="C933" s="187"/>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row>
    <row r="934" ht="12.75" customHeight="1">
      <c r="A934" s="186"/>
      <c r="B934" s="187"/>
      <c r="C934" s="187"/>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row>
    <row r="935" ht="12.75" customHeight="1">
      <c r="A935" s="186"/>
      <c r="B935" s="187"/>
      <c r="C935" s="187"/>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row>
    <row r="936" ht="12.75" customHeight="1">
      <c r="A936" s="186"/>
      <c r="B936" s="187"/>
      <c r="C936" s="187"/>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row>
    <row r="937" ht="12.75" customHeight="1">
      <c r="A937" s="186"/>
      <c r="B937" s="187"/>
      <c r="C937" s="187"/>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row>
    <row r="938" ht="12.75" customHeight="1">
      <c r="A938" s="186"/>
      <c r="B938" s="187"/>
      <c r="C938" s="187"/>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row>
    <row r="939" ht="12.75" customHeight="1">
      <c r="A939" s="186"/>
      <c r="B939" s="187"/>
      <c r="C939" s="187"/>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row>
    <row r="940" ht="12.75" customHeight="1">
      <c r="A940" s="186"/>
      <c r="B940" s="187"/>
      <c r="C940" s="187"/>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row>
    <row r="941" ht="12.75" customHeight="1">
      <c r="A941" s="186"/>
      <c r="B941" s="187"/>
      <c r="C941" s="187"/>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row>
    <row r="942" ht="12.75" customHeight="1">
      <c r="A942" s="186"/>
      <c r="B942" s="187"/>
      <c r="C942" s="187"/>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row>
    <row r="943" ht="12.75" customHeight="1">
      <c r="A943" s="186"/>
      <c r="B943" s="187"/>
      <c r="C943" s="187"/>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row>
    <row r="944" ht="12.75" customHeight="1">
      <c r="A944" s="186"/>
      <c r="B944" s="187"/>
      <c r="C944" s="187"/>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row>
    <row r="945" ht="12.75" customHeight="1">
      <c r="A945" s="186"/>
      <c r="B945" s="187"/>
      <c r="C945" s="187"/>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row>
    <row r="946" ht="12.75" customHeight="1">
      <c r="A946" s="186"/>
      <c r="B946" s="187"/>
      <c r="C946" s="187"/>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row>
    <row r="947" ht="12.75" customHeight="1">
      <c r="A947" s="186"/>
      <c r="B947" s="187"/>
      <c r="C947" s="187"/>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row>
    <row r="948" ht="12.75" customHeight="1">
      <c r="A948" s="186"/>
      <c r="B948" s="187"/>
      <c r="C948" s="187"/>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row>
    <row r="949" ht="12.75" customHeight="1">
      <c r="A949" s="186"/>
      <c r="B949" s="187"/>
      <c r="C949" s="187"/>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row>
    <row r="950" ht="12.75" customHeight="1">
      <c r="A950" s="186"/>
      <c r="B950" s="187"/>
      <c r="C950" s="187"/>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row>
    <row r="951" ht="12.75" customHeight="1">
      <c r="A951" s="186"/>
      <c r="B951" s="187"/>
      <c r="C951" s="187"/>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row>
    <row r="952" ht="12.75" customHeight="1">
      <c r="A952" s="186"/>
      <c r="B952" s="187"/>
      <c r="C952" s="187"/>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row>
    <row r="953" ht="12.75" customHeight="1">
      <c r="A953" s="186"/>
      <c r="B953" s="187"/>
      <c r="C953" s="187"/>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row>
    <row r="954" ht="12.75" customHeight="1">
      <c r="A954" s="186"/>
      <c r="B954" s="187"/>
      <c r="C954" s="187"/>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row>
    <row r="955" ht="12.75" customHeight="1">
      <c r="A955" s="186"/>
      <c r="B955" s="187"/>
      <c r="C955" s="187"/>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row>
    <row r="956" ht="12.75" customHeight="1">
      <c r="A956" s="186"/>
      <c r="B956" s="187"/>
      <c r="C956" s="187"/>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row>
    <row r="957" ht="12.75" customHeight="1">
      <c r="A957" s="186"/>
      <c r="B957" s="187"/>
      <c r="C957" s="187"/>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row>
    <row r="958" ht="12.75" customHeight="1">
      <c r="A958" s="186"/>
      <c r="B958" s="187"/>
      <c r="C958" s="187"/>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row>
    <row r="959" ht="12.75" customHeight="1">
      <c r="A959" s="186"/>
      <c r="B959" s="187"/>
      <c r="C959" s="187"/>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row>
    <row r="960" ht="12.75" customHeight="1">
      <c r="A960" s="186"/>
      <c r="B960" s="187"/>
      <c r="C960" s="187"/>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row>
    <row r="961" ht="12.75" customHeight="1">
      <c r="A961" s="186"/>
      <c r="B961" s="187"/>
      <c r="C961" s="187"/>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row>
    <row r="962" ht="12.75" customHeight="1">
      <c r="A962" s="186"/>
      <c r="B962" s="187"/>
      <c r="C962" s="187"/>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row>
    <row r="963" ht="12.75" customHeight="1">
      <c r="A963" s="186"/>
      <c r="B963" s="187"/>
      <c r="C963" s="187"/>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row>
    <row r="964" ht="12.75" customHeight="1">
      <c r="A964" s="186"/>
      <c r="B964" s="187"/>
      <c r="C964" s="187"/>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row>
    <row r="965" ht="12.75" customHeight="1">
      <c r="A965" s="186"/>
      <c r="B965" s="187"/>
      <c r="C965" s="187"/>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row>
    <row r="966" ht="12.75" customHeight="1">
      <c r="A966" s="186"/>
      <c r="B966" s="187"/>
      <c r="C966" s="187"/>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row>
    <row r="967" ht="12.75" customHeight="1">
      <c r="A967" s="186"/>
      <c r="B967" s="187"/>
      <c r="C967" s="187"/>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row>
    <row r="968" ht="12.75" customHeight="1">
      <c r="A968" s="186"/>
      <c r="B968" s="187"/>
      <c r="C968" s="187"/>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row>
    <row r="969" ht="12.75" customHeight="1">
      <c r="A969" s="186"/>
      <c r="B969" s="187"/>
      <c r="C969" s="187"/>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row>
    <row r="970" ht="12.75" customHeight="1">
      <c r="A970" s="186"/>
      <c r="B970" s="187"/>
      <c r="C970" s="187"/>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row>
    <row r="971" ht="12.75" customHeight="1">
      <c r="A971" s="186"/>
      <c r="B971" s="187"/>
      <c r="C971" s="187"/>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row>
    <row r="972" ht="12.75" customHeight="1">
      <c r="A972" s="186"/>
      <c r="B972" s="187"/>
      <c r="C972" s="187"/>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row>
    <row r="973" ht="12.75" customHeight="1">
      <c r="A973" s="186"/>
      <c r="B973" s="187"/>
      <c r="C973" s="187"/>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row>
    <row r="974" ht="12.75" customHeight="1">
      <c r="A974" s="186"/>
      <c r="B974" s="187"/>
      <c r="C974" s="187"/>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row>
    <row r="975" ht="12.75" customHeight="1">
      <c r="A975" s="186"/>
      <c r="B975" s="187"/>
      <c r="C975" s="187"/>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row>
    <row r="976" ht="12.75" customHeight="1">
      <c r="A976" s="186"/>
      <c r="B976" s="187"/>
      <c r="C976" s="187"/>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row>
    <row r="977" ht="12.75" customHeight="1">
      <c r="A977" s="186"/>
      <c r="B977" s="187"/>
      <c r="C977" s="187"/>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row>
    <row r="978" ht="12.75" customHeight="1">
      <c r="A978" s="186"/>
      <c r="B978" s="187"/>
      <c r="C978" s="187"/>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row>
    <row r="979" ht="12.75" customHeight="1">
      <c r="A979" s="186"/>
      <c r="B979" s="187"/>
      <c r="C979" s="187"/>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row>
    <row r="980" ht="12.75" customHeight="1">
      <c r="A980" s="186"/>
      <c r="B980" s="187"/>
      <c r="C980" s="187"/>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row>
    <row r="981" ht="12.75" customHeight="1">
      <c r="A981" s="186"/>
      <c r="B981" s="187"/>
      <c r="C981" s="187"/>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row>
    <row r="982" ht="12.75" customHeight="1">
      <c r="A982" s="186"/>
      <c r="B982" s="187"/>
      <c r="C982" s="187"/>
      <c r="D982" s="154"/>
      <c r="E982" s="154"/>
      <c r="F982" s="154"/>
      <c r="G982" s="154"/>
      <c r="H982" s="154"/>
      <c r="I982" s="154"/>
      <c r="J982" s="154"/>
      <c r="K982" s="154"/>
      <c r="L982" s="154"/>
      <c r="M982" s="154"/>
      <c r="N982" s="154"/>
      <c r="O982" s="154"/>
      <c r="P982" s="154"/>
      <c r="Q982" s="154"/>
      <c r="R982" s="154"/>
      <c r="S982" s="154"/>
      <c r="T982" s="154"/>
      <c r="U982" s="154"/>
      <c r="V982" s="154"/>
      <c r="W982" s="154"/>
      <c r="X982" s="154"/>
      <c r="Y982" s="154"/>
      <c r="Z982" s="154"/>
    </row>
    <row r="983" ht="12.75" customHeight="1">
      <c r="A983" s="186"/>
      <c r="B983" s="187"/>
      <c r="C983" s="187"/>
      <c r="D983" s="154"/>
      <c r="E983" s="154"/>
      <c r="F983" s="154"/>
      <c r="G983" s="154"/>
      <c r="H983" s="154"/>
      <c r="I983" s="154"/>
      <c r="J983" s="154"/>
      <c r="K983" s="154"/>
      <c r="L983" s="154"/>
      <c r="M983" s="154"/>
      <c r="N983" s="154"/>
      <c r="O983" s="154"/>
      <c r="P983" s="154"/>
      <c r="Q983" s="154"/>
      <c r="R983" s="154"/>
      <c r="S983" s="154"/>
      <c r="T983" s="154"/>
      <c r="U983" s="154"/>
      <c r="V983" s="154"/>
      <c r="W983" s="154"/>
      <c r="X983" s="154"/>
      <c r="Y983" s="154"/>
      <c r="Z983" s="154"/>
    </row>
    <row r="984" ht="12.75" customHeight="1">
      <c r="A984" s="186"/>
      <c r="B984" s="187"/>
      <c r="C984" s="187"/>
      <c r="D984" s="154"/>
      <c r="E984" s="154"/>
      <c r="F984" s="154"/>
      <c r="G984" s="154"/>
      <c r="H984" s="154"/>
      <c r="I984" s="154"/>
      <c r="J984" s="154"/>
      <c r="K984" s="154"/>
      <c r="L984" s="154"/>
      <c r="M984" s="154"/>
      <c r="N984" s="154"/>
      <c r="O984" s="154"/>
      <c r="P984" s="154"/>
      <c r="Q984" s="154"/>
      <c r="R984" s="154"/>
      <c r="S984" s="154"/>
      <c r="T984" s="154"/>
      <c r="U984" s="154"/>
      <c r="V984" s="154"/>
      <c r="W984" s="154"/>
      <c r="X984" s="154"/>
      <c r="Y984" s="154"/>
      <c r="Z984" s="154"/>
    </row>
    <row r="985" ht="12.75" customHeight="1">
      <c r="A985" s="186"/>
      <c r="B985" s="187"/>
      <c r="C985" s="187"/>
      <c r="D985" s="154"/>
      <c r="E985" s="154"/>
      <c r="F985" s="154"/>
      <c r="G985" s="154"/>
      <c r="H985" s="154"/>
      <c r="I985" s="154"/>
      <c r="J985" s="154"/>
      <c r="K985" s="154"/>
      <c r="L985" s="154"/>
      <c r="M985" s="154"/>
      <c r="N985" s="154"/>
      <c r="O985" s="154"/>
      <c r="P985" s="154"/>
      <c r="Q985" s="154"/>
      <c r="R985" s="154"/>
      <c r="S985" s="154"/>
      <c r="T985" s="154"/>
      <c r="U985" s="154"/>
      <c r="V985" s="154"/>
      <c r="W985" s="154"/>
      <c r="X985" s="154"/>
      <c r="Y985" s="154"/>
      <c r="Z985" s="154"/>
    </row>
    <row r="986" ht="12.75" customHeight="1">
      <c r="A986" s="186"/>
      <c r="B986" s="187"/>
      <c r="C986" s="187"/>
      <c r="D986" s="154"/>
      <c r="E986" s="154"/>
      <c r="F986" s="154"/>
      <c r="G986" s="154"/>
      <c r="H986" s="154"/>
      <c r="I986" s="154"/>
      <c r="J986" s="154"/>
      <c r="K986" s="154"/>
      <c r="L986" s="154"/>
      <c r="M986" s="154"/>
      <c r="N986" s="154"/>
      <c r="O986" s="154"/>
      <c r="P986" s="154"/>
      <c r="Q986" s="154"/>
      <c r="R986" s="154"/>
      <c r="S986" s="154"/>
      <c r="T986" s="154"/>
      <c r="U986" s="154"/>
      <c r="V986" s="154"/>
      <c r="W986" s="154"/>
      <c r="X986" s="154"/>
      <c r="Y986" s="154"/>
      <c r="Z986" s="154"/>
    </row>
    <row r="987" ht="12.75" customHeight="1">
      <c r="A987" s="186"/>
      <c r="B987" s="187"/>
      <c r="C987" s="187"/>
      <c r="D987" s="154"/>
      <c r="E987" s="154"/>
      <c r="F987" s="154"/>
      <c r="G987" s="154"/>
      <c r="H987" s="154"/>
      <c r="I987" s="154"/>
      <c r="J987" s="154"/>
      <c r="K987" s="154"/>
      <c r="L987" s="154"/>
      <c r="M987" s="154"/>
      <c r="N987" s="154"/>
      <c r="O987" s="154"/>
      <c r="P987" s="154"/>
      <c r="Q987" s="154"/>
      <c r="R987" s="154"/>
      <c r="S987" s="154"/>
      <c r="T987" s="154"/>
      <c r="U987" s="154"/>
      <c r="V987" s="154"/>
      <c r="W987" s="154"/>
      <c r="X987" s="154"/>
      <c r="Y987" s="154"/>
      <c r="Z987" s="154"/>
    </row>
    <row r="988" ht="12.75" customHeight="1">
      <c r="A988" s="186"/>
      <c r="B988" s="187"/>
      <c r="C988" s="187"/>
      <c r="D988" s="154"/>
      <c r="E988" s="154"/>
      <c r="F988" s="154"/>
      <c r="G988" s="154"/>
      <c r="H988" s="154"/>
      <c r="I988" s="154"/>
      <c r="J988" s="154"/>
      <c r="K988" s="154"/>
      <c r="L988" s="154"/>
      <c r="M988" s="154"/>
      <c r="N988" s="154"/>
      <c r="O988" s="154"/>
      <c r="P988" s="154"/>
      <c r="Q988" s="154"/>
      <c r="R988" s="154"/>
      <c r="S988" s="154"/>
      <c r="T988" s="154"/>
      <c r="U988" s="154"/>
      <c r="V988" s="154"/>
      <c r="W988" s="154"/>
      <c r="X988" s="154"/>
      <c r="Y988" s="154"/>
      <c r="Z988" s="154"/>
    </row>
    <row r="989" ht="12.75" customHeight="1">
      <c r="A989" s="186"/>
      <c r="B989" s="187"/>
      <c r="C989" s="187"/>
      <c r="D989" s="154"/>
      <c r="E989" s="154"/>
      <c r="F989" s="154"/>
      <c r="G989" s="154"/>
      <c r="H989" s="154"/>
      <c r="I989" s="154"/>
      <c r="J989" s="154"/>
      <c r="K989" s="154"/>
      <c r="L989" s="154"/>
      <c r="M989" s="154"/>
      <c r="N989" s="154"/>
      <c r="O989" s="154"/>
      <c r="P989" s="154"/>
      <c r="Q989" s="154"/>
      <c r="R989" s="154"/>
      <c r="S989" s="154"/>
      <c r="T989" s="154"/>
      <c r="U989" s="154"/>
      <c r="V989" s="154"/>
      <c r="W989" s="154"/>
      <c r="X989" s="154"/>
      <c r="Y989" s="154"/>
      <c r="Z989" s="154"/>
    </row>
    <row r="990" ht="12.75" customHeight="1">
      <c r="A990" s="186"/>
      <c r="B990" s="187"/>
      <c r="C990" s="187"/>
      <c r="D990" s="154"/>
      <c r="E990" s="154"/>
      <c r="F990" s="154"/>
      <c r="G990" s="154"/>
      <c r="H990" s="154"/>
      <c r="I990" s="154"/>
      <c r="J990" s="154"/>
      <c r="K990" s="154"/>
      <c r="L990" s="154"/>
      <c r="M990" s="154"/>
      <c r="N990" s="154"/>
      <c r="O990" s="154"/>
      <c r="P990" s="154"/>
      <c r="Q990" s="154"/>
      <c r="R990" s="154"/>
      <c r="S990" s="154"/>
      <c r="T990" s="154"/>
      <c r="U990" s="154"/>
      <c r="V990" s="154"/>
      <c r="W990" s="154"/>
      <c r="X990" s="154"/>
      <c r="Y990" s="154"/>
      <c r="Z990" s="154"/>
    </row>
    <row r="991" ht="12.75" customHeight="1">
      <c r="A991" s="186"/>
      <c r="B991" s="187"/>
      <c r="C991" s="187"/>
      <c r="D991" s="154"/>
      <c r="E991" s="154"/>
      <c r="F991" s="154"/>
      <c r="G991" s="154"/>
      <c r="H991" s="154"/>
      <c r="I991" s="154"/>
      <c r="J991" s="154"/>
      <c r="K991" s="154"/>
      <c r="L991" s="154"/>
      <c r="M991" s="154"/>
      <c r="N991" s="154"/>
      <c r="O991" s="154"/>
      <c r="P991" s="154"/>
      <c r="Q991" s="154"/>
      <c r="R991" s="154"/>
      <c r="S991" s="154"/>
      <c r="T991" s="154"/>
      <c r="U991" s="154"/>
      <c r="V991" s="154"/>
      <c r="W991" s="154"/>
      <c r="X991" s="154"/>
      <c r="Y991" s="154"/>
      <c r="Z991" s="154"/>
    </row>
    <row r="992" ht="12.75" customHeight="1">
      <c r="A992" s="186"/>
      <c r="B992" s="187"/>
      <c r="C992" s="187"/>
      <c r="D992" s="154"/>
      <c r="E992" s="154"/>
      <c r="F992" s="154"/>
      <c r="G992" s="154"/>
      <c r="H992" s="154"/>
      <c r="I992" s="154"/>
      <c r="J992" s="154"/>
      <c r="K992" s="154"/>
      <c r="L992" s="154"/>
      <c r="M992" s="154"/>
      <c r="N992" s="154"/>
      <c r="O992" s="154"/>
      <c r="P992" s="154"/>
      <c r="Q992" s="154"/>
      <c r="R992" s="154"/>
      <c r="S992" s="154"/>
      <c r="T992" s="154"/>
      <c r="U992" s="154"/>
      <c r="V992" s="154"/>
      <c r="W992" s="154"/>
      <c r="X992" s="154"/>
      <c r="Y992" s="154"/>
      <c r="Z992" s="154"/>
    </row>
    <row r="993" ht="12.75" customHeight="1">
      <c r="A993" s="186"/>
      <c r="B993" s="187"/>
      <c r="C993" s="187"/>
      <c r="D993" s="154"/>
      <c r="E993" s="154"/>
      <c r="F993" s="154"/>
      <c r="G993" s="154"/>
      <c r="H993" s="154"/>
      <c r="I993" s="154"/>
      <c r="J993" s="154"/>
      <c r="K993" s="154"/>
      <c r="L993" s="154"/>
      <c r="M993" s="154"/>
      <c r="N993" s="154"/>
      <c r="O993" s="154"/>
      <c r="P993" s="154"/>
      <c r="Q993" s="154"/>
      <c r="R993" s="154"/>
      <c r="S993" s="154"/>
      <c r="T993" s="154"/>
      <c r="U993" s="154"/>
      <c r="V993" s="154"/>
      <c r="W993" s="154"/>
      <c r="X993" s="154"/>
      <c r="Y993" s="154"/>
      <c r="Z993" s="154"/>
    </row>
    <row r="994" ht="12.75" customHeight="1">
      <c r="A994" s="186"/>
      <c r="B994" s="187"/>
      <c r="C994" s="187"/>
      <c r="D994" s="154"/>
      <c r="E994" s="154"/>
      <c r="F994" s="154"/>
      <c r="G994" s="154"/>
      <c r="H994" s="154"/>
      <c r="I994" s="154"/>
      <c r="J994" s="154"/>
      <c r="K994" s="154"/>
      <c r="L994" s="154"/>
      <c r="M994" s="154"/>
      <c r="N994" s="154"/>
      <c r="O994" s="154"/>
      <c r="P994" s="154"/>
      <c r="Q994" s="154"/>
      <c r="R994" s="154"/>
      <c r="S994" s="154"/>
      <c r="T994" s="154"/>
      <c r="U994" s="154"/>
      <c r="V994" s="154"/>
      <c r="W994" s="154"/>
      <c r="X994" s="154"/>
      <c r="Y994" s="154"/>
      <c r="Z994" s="154"/>
    </row>
    <row r="995" ht="12.75" customHeight="1">
      <c r="A995" s="186"/>
      <c r="B995" s="187"/>
      <c r="C995" s="187"/>
      <c r="D995" s="154"/>
      <c r="E995" s="154"/>
      <c r="F995" s="154"/>
      <c r="G995" s="154"/>
      <c r="H995" s="154"/>
      <c r="I995" s="154"/>
      <c r="J995" s="154"/>
      <c r="K995" s="154"/>
      <c r="L995" s="154"/>
      <c r="M995" s="154"/>
      <c r="N995" s="154"/>
      <c r="O995" s="154"/>
      <c r="P995" s="154"/>
      <c r="Q995" s="154"/>
      <c r="R995" s="154"/>
      <c r="S995" s="154"/>
      <c r="T995" s="154"/>
      <c r="U995" s="154"/>
      <c r="V995" s="154"/>
      <c r="W995" s="154"/>
      <c r="X995" s="154"/>
      <c r="Y995" s="154"/>
      <c r="Z995" s="154"/>
    </row>
    <row r="996" ht="12.75" customHeight="1">
      <c r="A996" s="186"/>
      <c r="B996" s="187"/>
      <c r="C996" s="187"/>
      <c r="D996" s="154"/>
      <c r="E996" s="154"/>
      <c r="F996" s="154"/>
      <c r="G996" s="154"/>
      <c r="H996" s="154"/>
      <c r="I996" s="154"/>
      <c r="J996" s="154"/>
      <c r="K996" s="154"/>
      <c r="L996" s="154"/>
      <c r="M996" s="154"/>
      <c r="N996" s="154"/>
      <c r="O996" s="154"/>
      <c r="P996" s="154"/>
      <c r="Q996" s="154"/>
      <c r="R996" s="154"/>
      <c r="S996" s="154"/>
      <c r="T996" s="154"/>
      <c r="U996" s="154"/>
      <c r="V996" s="154"/>
      <c r="W996" s="154"/>
      <c r="X996" s="154"/>
      <c r="Y996" s="154"/>
      <c r="Z996" s="154"/>
    </row>
    <row r="997" ht="12.75" customHeight="1">
      <c r="A997" s="186"/>
      <c r="B997" s="187"/>
      <c r="C997" s="187"/>
      <c r="D997" s="154"/>
      <c r="E997" s="154"/>
      <c r="F997" s="154"/>
      <c r="G997" s="154"/>
      <c r="H997" s="154"/>
      <c r="I997" s="154"/>
      <c r="J997" s="154"/>
      <c r="K997" s="154"/>
      <c r="L997" s="154"/>
      <c r="M997" s="154"/>
      <c r="N997" s="154"/>
      <c r="O997" s="154"/>
      <c r="P997" s="154"/>
      <c r="Q997" s="154"/>
      <c r="R997" s="154"/>
      <c r="S997" s="154"/>
      <c r="T997" s="154"/>
      <c r="U997" s="154"/>
      <c r="V997" s="154"/>
      <c r="W997" s="154"/>
      <c r="X997" s="154"/>
      <c r="Y997" s="154"/>
      <c r="Z997" s="154"/>
    </row>
    <row r="998" ht="12.75" customHeight="1">
      <c r="A998" s="186"/>
      <c r="B998" s="187"/>
      <c r="C998" s="187"/>
      <c r="D998" s="154"/>
      <c r="E998" s="154"/>
      <c r="F998" s="154"/>
      <c r="G998" s="154"/>
      <c r="H998" s="154"/>
      <c r="I998" s="154"/>
      <c r="J998" s="154"/>
      <c r="K998" s="154"/>
      <c r="L998" s="154"/>
      <c r="M998" s="154"/>
      <c r="N998" s="154"/>
      <c r="O998" s="154"/>
      <c r="P998" s="154"/>
      <c r="Q998" s="154"/>
      <c r="R998" s="154"/>
      <c r="S998" s="154"/>
      <c r="T998" s="154"/>
      <c r="U998" s="154"/>
      <c r="V998" s="154"/>
      <c r="W998" s="154"/>
      <c r="X998" s="154"/>
      <c r="Y998" s="154"/>
      <c r="Z998" s="154"/>
    </row>
    <row r="999" ht="12.75" customHeight="1">
      <c r="A999" s="186"/>
      <c r="B999" s="187"/>
      <c r="C999" s="187"/>
      <c r="D999" s="154"/>
      <c r="E999" s="154"/>
      <c r="F999" s="154"/>
      <c r="G999" s="154"/>
      <c r="H999" s="154"/>
      <c r="I999" s="154"/>
      <c r="J999" s="154"/>
      <c r="K999" s="154"/>
      <c r="L999" s="154"/>
      <c r="M999" s="154"/>
      <c r="N999" s="154"/>
      <c r="O999" s="154"/>
      <c r="P999" s="154"/>
      <c r="Q999" s="154"/>
      <c r="R999" s="154"/>
      <c r="S999" s="154"/>
      <c r="T999" s="154"/>
      <c r="U999" s="154"/>
      <c r="V999" s="154"/>
      <c r="W999" s="154"/>
      <c r="X999" s="154"/>
      <c r="Y999" s="154"/>
      <c r="Z999" s="154"/>
    </row>
    <row r="1000" ht="12.75" customHeight="1">
      <c r="A1000" s="186"/>
      <c r="B1000" s="187"/>
      <c r="C1000" s="187"/>
      <c r="D1000" s="154"/>
      <c r="E1000" s="154"/>
      <c r="F1000" s="154"/>
      <c r="G1000" s="154"/>
      <c r="H1000" s="154"/>
      <c r="I1000" s="154"/>
      <c r="J1000" s="154"/>
      <c r="K1000" s="154"/>
      <c r="L1000" s="154"/>
      <c r="M1000" s="154"/>
      <c r="N1000" s="154"/>
      <c r="O1000" s="154"/>
      <c r="P1000" s="154"/>
      <c r="Q1000" s="154"/>
      <c r="R1000" s="154"/>
      <c r="S1000" s="154"/>
      <c r="T1000" s="154"/>
      <c r="U1000" s="154"/>
      <c r="V1000" s="154"/>
      <c r="W1000" s="154"/>
      <c r="X1000" s="154"/>
      <c r="Y1000" s="154"/>
      <c r="Z1000" s="154"/>
    </row>
  </sheetData>
  <mergeCells count="10">
    <mergeCell ref="B71:C71"/>
    <mergeCell ref="D71:I71"/>
    <mergeCell ref="B87:C87"/>
    <mergeCell ref="A1:O1"/>
    <mergeCell ref="A2:B2"/>
    <mergeCell ref="C2:D2"/>
    <mergeCell ref="E2:F2"/>
    <mergeCell ref="G2:O2"/>
    <mergeCell ref="A4:B4"/>
    <mergeCell ref="A52:B52"/>
  </mergeCells>
  <printOptions horizontalCentered="1"/>
  <pageMargins bottom="0.3937007874015748" footer="0.0" header="0.0" left="0.0" right="0.0" top="0.7874015748031497"/>
  <pageSetup scale="60"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9.43"/>
    <col customWidth="1" min="4" max="4" width="8.86"/>
    <col customWidth="1" min="5" max="5" width="9.0"/>
    <col customWidth="1" min="6" max="6" width="9.29"/>
    <col customWidth="1" min="7" max="8" width="8.86"/>
    <col customWidth="1" min="9" max="14" width="9.0"/>
    <col customWidth="1" min="15" max="15" width="9.57"/>
    <col customWidth="1" min="16" max="16" width="6.57"/>
    <col customWidth="1" hidden="1" min="17" max="17" width="16.0"/>
    <col customWidth="1" hidden="1" min="18" max="18" width="6.57"/>
    <col customWidth="1" min="19" max="19" width="6.57"/>
    <col customWidth="1" min="20" max="20" width="11.43"/>
    <col customWidth="1" min="21" max="21" width="9.0"/>
    <col customWidth="1" min="22" max="22" width="5.71"/>
    <col customWidth="1" min="23" max="23" width="10.43"/>
    <col customWidth="1" min="24" max="24" width="10.0"/>
    <col customWidth="1" min="25" max="26" width="10.71"/>
  </cols>
  <sheetData>
    <row r="1" ht="15.0"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3.5" customHeight="1">
      <c r="A2" s="42"/>
      <c r="D2" s="43" t="s">
        <v>1</v>
      </c>
      <c r="E2" s="44"/>
      <c r="F2" s="44"/>
      <c r="G2" s="44"/>
      <c r="H2" s="44"/>
      <c r="I2" s="44"/>
      <c r="J2" s="44"/>
      <c r="K2" s="44"/>
      <c r="L2" s="44"/>
      <c r="M2" s="44"/>
      <c r="N2" s="44"/>
      <c r="O2" s="45"/>
      <c r="P2" s="41"/>
      <c r="Q2" s="41"/>
      <c r="R2" s="41"/>
      <c r="S2" s="41"/>
      <c r="T2" s="41"/>
      <c r="U2" s="41"/>
      <c r="V2" s="41"/>
      <c r="W2" s="41"/>
      <c r="X2" s="41"/>
      <c r="Y2" s="41"/>
      <c r="Z2" s="41"/>
    </row>
    <row r="3" ht="13.5" customHeight="1">
      <c r="A3" s="42"/>
      <c r="D3" s="38" t="s">
        <v>41</v>
      </c>
      <c r="E3" s="36"/>
      <c r="F3" s="36"/>
      <c r="G3" s="36"/>
      <c r="H3" s="36"/>
      <c r="I3" s="36"/>
      <c r="J3" s="36"/>
      <c r="K3" s="36"/>
      <c r="L3" s="36"/>
      <c r="M3" s="36"/>
      <c r="N3" s="36"/>
      <c r="O3" s="40"/>
      <c r="P3" s="41"/>
      <c r="Q3" s="41"/>
      <c r="R3" s="41"/>
      <c r="S3" s="41"/>
      <c r="T3" s="41"/>
      <c r="U3" s="41"/>
      <c r="V3" s="41"/>
      <c r="W3" s="41"/>
      <c r="X3" s="41"/>
      <c r="Y3" s="41"/>
      <c r="Z3" s="41"/>
    </row>
    <row r="4" ht="12.0"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7" t="str">
        <f>'SET SP Sta.Mría'!$B8</f>
        <v>Eficiencia de Recaudo  Corriente</v>
      </c>
      <c r="G6" s="58"/>
      <c r="H6" s="58"/>
      <c r="I6" s="58"/>
      <c r="J6" s="58"/>
      <c r="K6" s="58"/>
      <c r="L6" s="58"/>
      <c r="M6" s="58"/>
      <c r="N6" s="58"/>
      <c r="O6" s="60"/>
      <c r="P6" s="41"/>
      <c r="Q6" s="41"/>
      <c r="R6" s="41"/>
      <c r="S6" s="41"/>
      <c r="T6" s="41"/>
      <c r="U6" s="41"/>
      <c r="V6" s="41"/>
      <c r="W6" s="41"/>
      <c r="X6" s="41"/>
      <c r="Y6" s="41"/>
      <c r="Z6" s="41"/>
    </row>
    <row r="7" ht="15.75" customHeight="1">
      <c r="A7" s="53" t="s">
        <v>51</v>
      </c>
      <c r="B7" s="54"/>
      <c r="C7" s="54"/>
      <c r="D7" s="54"/>
      <c r="E7" s="55"/>
      <c r="F7" s="61" t="str">
        <f>'SET SP Sta.Mría'!F8</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Sta.Mría'!A8</f>
        <v>IN01</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56.25" customHeight="1">
      <c r="A11" s="80" t="str">
        <f>'SET SP Sta.Mría'!$C8</f>
        <v>Medir la eficiencia en el recaudo corriente de la prestación de los servicios pubicos domiciliarios de Aguas del Huila.</v>
      </c>
      <c r="B11" s="63"/>
      <c r="C11" s="63"/>
      <c r="D11" s="64"/>
      <c r="E11" s="81" t="s">
        <v>70</v>
      </c>
      <c r="F11" s="82" t="str">
        <f>'SET SP Sta.Mría'!$D8</f>
        <v>(Valor  Recaudado  Corriente Usuario Final / Valor  Facturado Corriente Usuario Final) x100%</v>
      </c>
      <c r="G11" s="64"/>
      <c r="H11" s="83">
        <f>$O18</f>
        <v>0.85</v>
      </c>
      <c r="I11" s="84" t="str">
        <f>'SET SP Sta.Mría'!$E8</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78</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
        <v>79</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0">
        <f t="shared" ref="C17:N17" si="1">$O$17</f>
        <v>0.82</v>
      </c>
      <c r="D17" s="100">
        <f t="shared" si="1"/>
        <v>0.82</v>
      </c>
      <c r="E17" s="100">
        <f t="shared" si="1"/>
        <v>0.82</v>
      </c>
      <c r="F17" s="100">
        <f t="shared" si="1"/>
        <v>0.82</v>
      </c>
      <c r="G17" s="100">
        <f t="shared" si="1"/>
        <v>0.82</v>
      </c>
      <c r="H17" s="100">
        <f t="shared" si="1"/>
        <v>0.82</v>
      </c>
      <c r="I17" s="100">
        <f t="shared" si="1"/>
        <v>0.82</v>
      </c>
      <c r="J17" s="100">
        <f t="shared" si="1"/>
        <v>0.82</v>
      </c>
      <c r="K17" s="100">
        <f t="shared" si="1"/>
        <v>0.82</v>
      </c>
      <c r="L17" s="100">
        <f t="shared" si="1"/>
        <v>0.82</v>
      </c>
      <c r="M17" s="100">
        <f t="shared" si="1"/>
        <v>0.82</v>
      </c>
      <c r="N17" s="100">
        <f t="shared" si="1"/>
        <v>0.82</v>
      </c>
      <c r="O17" s="103">
        <f>'SET SP Sta.Mría'!J8</f>
        <v>0.82</v>
      </c>
      <c r="P17" s="41"/>
      <c r="Q17" s="41"/>
      <c r="R17" s="41"/>
      <c r="S17" s="41"/>
      <c r="T17" s="41"/>
      <c r="U17" s="41"/>
      <c r="V17" s="92"/>
      <c r="W17" s="95"/>
      <c r="X17" s="95"/>
      <c r="Y17" s="41"/>
      <c r="Z17" s="41"/>
    </row>
    <row r="18" ht="17.25" customHeight="1">
      <c r="A18" s="99" t="s">
        <v>86</v>
      </c>
      <c r="B18" s="55"/>
      <c r="C18" s="100">
        <f t="shared" ref="C18:N18" si="2">$O$18</f>
        <v>0.85</v>
      </c>
      <c r="D18" s="100">
        <f t="shared" si="2"/>
        <v>0.85</v>
      </c>
      <c r="E18" s="100">
        <f t="shared" si="2"/>
        <v>0.85</v>
      </c>
      <c r="F18" s="100">
        <f t="shared" si="2"/>
        <v>0.85</v>
      </c>
      <c r="G18" s="100">
        <f t="shared" si="2"/>
        <v>0.85</v>
      </c>
      <c r="H18" s="100">
        <f t="shared" si="2"/>
        <v>0.85</v>
      </c>
      <c r="I18" s="100">
        <f t="shared" si="2"/>
        <v>0.85</v>
      </c>
      <c r="J18" s="100">
        <f t="shared" si="2"/>
        <v>0.85</v>
      </c>
      <c r="K18" s="100">
        <f t="shared" si="2"/>
        <v>0.85</v>
      </c>
      <c r="L18" s="100">
        <f t="shared" si="2"/>
        <v>0.85</v>
      </c>
      <c r="M18" s="100">
        <f t="shared" si="2"/>
        <v>0.85</v>
      </c>
      <c r="N18" s="100">
        <f t="shared" si="2"/>
        <v>0.85</v>
      </c>
      <c r="O18" s="103">
        <f>'SET SP Sta.Mría'!K8</f>
        <v>0.85</v>
      </c>
      <c r="P18" s="41"/>
      <c r="Q18" s="41"/>
      <c r="R18" s="41"/>
      <c r="S18" s="41"/>
      <c r="T18" s="41"/>
      <c r="U18" s="41"/>
      <c r="V18" s="92"/>
      <c r="W18" s="95"/>
      <c r="X18" s="95"/>
      <c r="Y18" s="41"/>
      <c r="Z18" s="41"/>
    </row>
    <row r="19" ht="17.25" customHeight="1">
      <c r="A19" s="106" t="s">
        <v>91</v>
      </c>
      <c r="B19" s="55"/>
      <c r="C19" s="107">
        <f t="shared" ref="C19:O19" si="3">IF((C21),C20/C21,"-")</f>
        <v>0.8555466008</v>
      </c>
      <c r="D19" s="107">
        <f t="shared" si="3"/>
        <v>0.8255069453</v>
      </c>
      <c r="E19" s="107">
        <f t="shared" si="3"/>
        <v>0.8422952298</v>
      </c>
      <c r="F19" s="107">
        <f t="shared" si="3"/>
        <v>0.8528331647</v>
      </c>
      <c r="G19" s="107">
        <f t="shared" si="3"/>
        <v>0.8128523193</v>
      </c>
      <c r="H19" s="107">
        <f t="shared" si="3"/>
        <v>1.547318572</v>
      </c>
      <c r="I19" s="107">
        <f t="shared" si="3"/>
        <v>0.8441561307</v>
      </c>
      <c r="J19" s="107">
        <f t="shared" si="3"/>
        <v>0.8703142835</v>
      </c>
      <c r="K19" s="107">
        <f t="shared" si="3"/>
        <v>0.8555143987</v>
      </c>
      <c r="L19" s="107">
        <f t="shared" si="3"/>
        <v>0.7951155735</v>
      </c>
      <c r="M19" s="107">
        <f t="shared" si="3"/>
        <v>0.8188215142</v>
      </c>
      <c r="N19" s="107">
        <f t="shared" si="3"/>
        <v>0.8348447924</v>
      </c>
      <c r="O19" s="109">
        <f t="shared" si="3"/>
        <v>0.8928947171</v>
      </c>
      <c r="P19" s="41"/>
      <c r="Q19" s="41"/>
      <c r="R19" s="41"/>
      <c r="S19" s="41"/>
      <c r="T19" s="41"/>
      <c r="U19" s="41"/>
      <c r="V19" s="92"/>
      <c r="W19" s="95"/>
      <c r="X19" s="95"/>
      <c r="Y19" s="41"/>
      <c r="Z19" s="41"/>
    </row>
    <row r="20" ht="23.25" customHeight="1">
      <c r="A20" s="110" t="s">
        <v>92</v>
      </c>
      <c r="B20" s="111" t="s">
        <v>94</v>
      </c>
      <c r="C20" s="112">
        <f>+'STA MARIA2020'!D$15+'STA MARIA2020'!D$17+'STA MARIA2020'!D$19</f>
        <v>33505058</v>
      </c>
      <c r="D20" s="112">
        <f>+'STA MARIA2020'!E$15+'STA MARIA2020'!E$17+'STA MARIA2020'!E$19</f>
        <v>27337488</v>
      </c>
      <c r="E20" s="112">
        <f>+'STA MARIA2020'!F$15+'STA MARIA2020'!F$17+'STA MARIA2020'!F$19</f>
        <v>28674804</v>
      </c>
      <c r="F20" s="112">
        <f>+'STA MARIA2020'!G$15+'STA MARIA2020'!G$17+'STA MARIA2020'!G$19</f>
        <v>32117100</v>
      </c>
      <c r="G20" s="112">
        <f>+'STA MARIA2020'!H$15+'STA MARIA2020'!H$17+'STA MARIA2020'!H$19</f>
        <v>29828523</v>
      </c>
      <c r="H20" s="112">
        <f>+'STA MARIA2020'!I$15+'STA MARIA2020'!I$17+'STA MARIA2020'!I$19</f>
        <v>54030483</v>
      </c>
      <c r="I20" s="112">
        <f>+'STA MARIA2020'!J$15+'STA MARIA2020'!J$17+'STA MARIA2020'!J$19</f>
        <v>35351367</v>
      </c>
      <c r="J20" s="112">
        <f>+'STA MARIA2020'!K$15+'STA MARIA2020'!K$17+'STA MARIA2020'!K$19</f>
        <v>34328741</v>
      </c>
      <c r="K20" s="112">
        <f>+'STA MARIA2020'!L$15+'STA MARIA2020'!L$17+'STA MARIA2020'!L$19</f>
        <v>35030417</v>
      </c>
      <c r="L20" s="112">
        <f>+'STA MARIA2020'!M$15+'STA MARIA2020'!M$17+'STA MARIA2020'!M$19</f>
        <v>28118425</v>
      </c>
      <c r="M20" s="112">
        <f>+'STA MARIA2020'!N$15+'STA MARIA2020'!N$17+'STA MARIA2020'!N$19</f>
        <v>31918375</v>
      </c>
      <c r="N20" s="112">
        <f>+'STA MARIA2020'!O$15+'STA MARIA2020'!O$17+'STA MARIA2020'!O$19</f>
        <v>31370264</v>
      </c>
      <c r="O20" s="113">
        <f t="shared" ref="O20:O21" si="4">SUM(C20:N20)</f>
        <v>401611045</v>
      </c>
      <c r="P20" s="41"/>
      <c r="Q20" s="41"/>
      <c r="R20" s="41"/>
      <c r="S20" s="41"/>
      <c r="T20" s="41"/>
      <c r="U20" s="41"/>
      <c r="V20" s="92"/>
      <c r="W20" s="95"/>
      <c r="X20" s="95"/>
      <c r="Y20" s="41"/>
      <c r="Z20" s="41"/>
    </row>
    <row r="21" ht="17.25" customHeight="1">
      <c r="A21" s="115"/>
      <c r="B21" s="111" t="s">
        <v>100</v>
      </c>
      <c r="C21" s="112">
        <f>+'STA MARIA2020'!D$14+'STA MARIA2020'!D$16+'STA MARIA2020'!D$18</f>
        <v>39162166</v>
      </c>
      <c r="D21" s="112">
        <f>+'STA MARIA2020'!E$14+'STA MARIA2020'!E$16+'STA MARIA2020'!E$18</f>
        <v>33116000</v>
      </c>
      <c r="E21" s="112">
        <f>+'STA MARIA2020'!F$14+'STA MARIA2020'!F$16+'STA MARIA2020'!F$18</f>
        <v>34043650</v>
      </c>
      <c r="F21" s="112">
        <f>+'STA MARIA2020'!G$14+'STA MARIA2020'!G$16+'STA MARIA2020'!G$18</f>
        <v>37659300</v>
      </c>
      <c r="G21" s="112">
        <f>+'STA MARIA2020'!H$14+'STA MARIA2020'!H$16+'STA MARIA2020'!H$18</f>
        <v>36696116</v>
      </c>
      <c r="H21" s="112">
        <f>+'STA MARIA2020'!I$14+'STA MARIA2020'!I$16+'STA MARIA2020'!I$18</f>
        <v>34918784</v>
      </c>
      <c r="I21" s="112">
        <f>+'STA MARIA2020'!J$14+'STA MARIA2020'!J$16+'STA MARIA2020'!J$18</f>
        <v>41877759</v>
      </c>
      <c r="J21" s="112">
        <f>+'STA MARIA2020'!K$14+'STA MARIA2020'!K$16+'STA MARIA2020'!K$18</f>
        <v>39444074</v>
      </c>
      <c r="K21" s="112">
        <f>+'STA MARIA2020'!L$14+'STA MARIA2020'!L$16+'STA MARIA2020'!L$18</f>
        <v>40946613</v>
      </c>
      <c r="L21" s="112">
        <f>+'STA MARIA2020'!M$14+'STA MARIA2020'!M$16+'STA MARIA2020'!M$18</f>
        <v>35363947</v>
      </c>
      <c r="M21" s="112">
        <f>+'STA MARIA2020'!N$14+'STA MARIA2020'!N$16+'STA MARIA2020'!N$18</f>
        <v>38980870</v>
      </c>
      <c r="N21" s="112">
        <f>+'STA MARIA2020'!O$14+'STA MARIA2020'!O$16+'STA MARIA2020'!O$18</f>
        <v>37576163</v>
      </c>
      <c r="O21" s="113">
        <f t="shared" si="4"/>
        <v>449785442</v>
      </c>
      <c r="P21" s="41"/>
      <c r="Q21" s="41"/>
      <c r="R21" s="41"/>
      <c r="S21" s="41"/>
      <c r="T21" s="41"/>
      <c r="U21" s="41"/>
      <c r="V21" s="92"/>
      <c r="W21" s="95"/>
      <c r="X21" s="95"/>
      <c r="Y21" s="41"/>
      <c r="Z21" s="41"/>
    </row>
    <row r="22" ht="17.25" customHeight="1">
      <c r="A22" s="115"/>
      <c r="B22" s="111"/>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8.0" customHeight="1">
      <c r="A23" s="120"/>
      <c r="B23" s="121"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Sta.Mría'!$G8</f>
        <v>Entre 80% y 100%</v>
      </c>
      <c r="E24" s="127"/>
      <c r="F24" s="127"/>
      <c r="G24" s="128"/>
      <c r="H24" s="126" t="str">
        <f>'SET SP Sta.Mría'!$H8</f>
        <v>Entre 60% y 79%</v>
      </c>
      <c r="I24" s="127"/>
      <c r="J24" s="127"/>
      <c r="K24" s="128"/>
      <c r="L24" s="126" t="str">
        <f>'SET SP Sta.Mría'!$I8</f>
        <v>Menor al 59%</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1" t="s">
        <v>126</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3" t="s">
        <v>129</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3" t="s">
        <v>131</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3" t="s">
        <v>132</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3" t="s">
        <v>138</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3" t="s">
        <v>140</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3" t="s">
        <v>142</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3" t="s">
        <v>144</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3" t="s">
        <v>149</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3" t="s">
        <v>155</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3" t="s">
        <v>157</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3" t="s">
        <v>160</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3" t="s">
        <v>161</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41" t="s">
        <v>164</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3" t="s">
        <v>167</v>
      </c>
      <c r="B42" s="54"/>
      <c r="C42" s="54"/>
      <c r="D42" s="54"/>
      <c r="E42" s="54"/>
      <c r="F42" s="54"/>
      <c r="G42" s="54"/>
      <c r="H42" s="54"/>
      <c r="I42" s="54"/>
      <c r="J42" s="54"/>
      <c r="K42" s="54"/>
      <c r="L42" s="54"/>
      <c r="M42" s="55"/>
      <c r="N42" s="146"/>
      <c r="O42" s="59"/>
      <c r="P42" s="41"/>
      <c r="Q42" s="41"/>
      <c r="R42" s="41"/>
      <c r="S42" s="41"/>
      <c r="T42" s="41"/>
      <c r="U42" s="41"/>
      <c r="V42" s="41"/>
      <c r="W42" s="41"/>
      <c r="X42" s="41"/>
      <c r="Y42" s="41"/>
      <c r="Z42" s="41"/>
    </row>
    <row r="43" ht="12.75" customHeight="1">
      <c r="A43" s="143" t="s">
        <v>172</v>
      </c>
      <c r="B43" s="54"/>
      <c r="C43" s="54"/>
      <c r="D43" s="54"/>
      <c r="E43" s="54"/>
      <c r="F43" s="54"/>
      <c r="G43" s="54"/>
      <c r="H43" s="54"/>
      <c r="I43" s="54"/>
      <c r="J43" s="54"/>
      <c r="K43" s="54"/>
      <c r="L43" s="54"/>
      <c r="M43" s="55"/>
      <c r="N43" s="146"/>
      <c r="O43" s="59"/>
      <c r="P43" s="41"/>
      <c r="Q43" s="41"/>
      <c r="R43" s="41"/>
      <c r="S43" s="41"/>
      <c r="T43" s="41"/>
      <c r="U43" s="41"/>
      <c r="V43" s="41"/>
      <c r="W43" s="41"/>
      <c r="X43" s="41"/>
      <c r="Y43" s="41"/>
      <c r="Z43" s="41"/>
    </row>
    <row r="44" ht="12.75" customHeight="1">
      <c r="A44" s="147"/>
      <c r="B44" s="54"/>
      <c r="C44" s="54"/>
      <c r="D44" s="54"/>
      <c r="E44" s="54"/>
      <c r="F44" s="54"/>
      <c r="G44" s="54"/>
      <c r="H44" s="54"/>
      <c r="I44" s="54"/>
      <c r="J44" s="54"/>
      <c r="K44" s="54"/>
      <c r="L44" s="54"/>
      <c r="M44" s="55"/>
      <c r="N44" s="146"/>
      <c r="O44" s="59"/>
      <c r="P44" s="41"/>
      <c r="Q44" s="41"/>
      <c r="R44" s="41"/>
      <c r="S44" s="41"/>
      <c r="T44" s="41"/>
      <c r="U44" s="41"/>
      <c r="V44" s="41"/>
      <c r="W44" s="41"/>
      <c r="X44" s="41"/>
      <c r="Y44" s="41"/>
      <c r="Z44" s="41"/>
    </row>
    <row r="45" ht="7.5" customHeight="1">
      <c r="A45" s="148"/>
      <c r="B45" s="88"/>
      <c r="C45" s="88"/>
      <c r="D45" s="88"/>
      <c r="E45" s="88"/>
      <c r="F45" s="88"/>
      <c r="G45" s="88"/>
      <c r="H45" s="88"/>
      <c r="I45" s="88"/>
      <c r="J45" s="88"/>
      <c r="K45" s="88"/>
      <c r="L45" s="88"/>
      <c r="M45" s="88"/>
      <c r="N45" s="88"/>
      <c r="O45" s="149"/>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187</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188</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189</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190</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191</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192</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196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206</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72</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213</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215</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217</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50" t="s">
        <v>218</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7">
        <v>0.85</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57">
        <v>0.9</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8">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O45"/>
    <mergeCell ref="A40:M40"/>
    <mergeCell ref="N40:O40"/>
    <mergeCell ref="A41:M41"/>
    <mergeCell ref="N41:O41"/>
    <mergeCell ref="A42:M42"/>
    <mergeCell ref="N42:O42"/>
    <mergeCell ref="N43:O43"/>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3" width="9.0"/>
    <col customWidth="1" min="4" max="4" width="8.71"/>
    <col customWidth="1" min="5" max="5" width="8.86"/>
    <col customWidth="1" min="6" max="6" width="9.86"/>
    <col customWidth="1" min="7" max="7" width="8.86"/>
    <col customWidth="1" min="8" max="9" width="9.14"/>
    <col customWidth="1" min="10" max="10" width="9.0"/>
    <col customWidth="1" min="11" max="11" width="7.71"/>
    <col customWidth="1" min="12" max="12" width="8.29"/>
    <col customWidth="1" min="13" max="14" width="7.71"/>
    <col customWidth="1" min="15" max="15" width="10.29"/>
    <col customWidth="1" min="16" max="16" width="7.14"/>
    <col customWidth="1" hidden="1" min="17" max="17" width="10.86"/>
    <col customWidth="1" hidden="1" min="18" max="18" width="7.14"/>
    <col customWidth="1" min="19" max="19" width="7.14"/>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1.2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0" customHeight="1">
      <c r="A3" s="42"/>
      <c r="D3" s="38" t="s">
        <v>42</v>
      </c>
      <c r="E3" s="36"/>
      <c r="F3" s="36"/>
      <c r="G3" s="36"/>
      <c r="H3" s="36"/>
      <c r="I3" s="36"/>
      <c r="J3" s="36"/>
      <c r="K3" s="36"/>
      <c r="L3" s="36"/>
      <c r="M3" s="36"/>
      <c r="N3" s="36"/>
      <c r="O3" s="40"/>
      <c r="P3" s="41"/>
      <c r="Q3" s="41"/>
      <c r="R3" s="41"/>
      <c r="S3" s="41"/>
      <c r="T3" s="41"/>
      <c r="U3" s="41"/>
      <c r="V3" s="41"/>
      <c r="W3" s="41"/>
      <c r="X3" s="41"/>
      <c r="Y3" s="41"/>
      <c r="Z3" s="41"/>
    </row>
    <row r="4" ht="12.75"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Sta.Mría'!$B9</f>
        <v>Eficiencia de Recaudo Total</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Sta.Mría'!F9</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Sta.Mría'!A9</f>
        <v>IN02</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46.5" customHeight="1">
      <c r="A11" s="80" t="str">
        <f>'SET SP Sta.Mría'!$C9</f>
        <v>Medir la eficiencia en el recaudo total de la prestación de los servicios pubicos domiciliarios de Aguas del Huila.</v>
      </c>
      <c r="B11" s="63"/>
      <c r="C11" s="63"/>
      <c r="D11" s="64"/>
      <c r="E11" s="81" t="s">
        <v>70</v>
      </c>
      <c r="F11" s="82" t="str">
        <f>'SET SP Sta.Mría'!$D9</f>
        <v>(Valor  Recaudado  Total Usuario Final / Valor  total Facturado usuario Final) x100%</v>
      </c>
      <c r="G11" s="64"/>
      <c r="H11" s="83">
        <f>$O18</f>
        <v>0.6</v>
      </c>
      <c r="I11" s="84" t="str">
        <f>'SET SP Sta.Mría'!$E9</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35.2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78</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tr">
        <f>+'01'!A15:O15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1">
        <f t="shared" ref="C17:N17" si="1">$O$17</f>
        <v>0.49</v>
      </c>
      <c r="D17" s="101">
        <f t="shared" si="1"/>
        <v>0.49</v>
      </c>
      <c r="E17" s="101">
        <f t="shared" si="1"/>
        <v>0.49</v>
      </c>
      <c r="F17" s="101">
        <f t="shared" si="1"/>
        <v>0.49</v>
      </c>
      <c r="G17" s="101">
        <f t="shared" si="1"/>
        <v>0.49</v>
      </c>
      <c r="H17" s="101">
        <f t="shared" si="1"/>
        <v>0.49</v>
      </c>
      <c r="I17" s="101">
        <f t="shared" si="1"/>
        <v>0.49</v>
      </c>
      <c r="J17" s="101">
        <f t="shared" si="1"/>
        <v>0.49</v>
      </c>
      <c r="K17" s="101">
        <f t="shared" si="1"/>
        <v>0.49</v>
      </c>
      <c r="L17" s="101">
        <f t="shared" si="1"/>
        <v>0.49</v>
      </c>
      <c r="M17" s="101">
        <f t="shared" si="1"/>
        <v>0.49</v>
      </c>
      <c r="N17" s="101">
        <f t="shared" si="1"/>
        <v>0.49</v>
      </c>
      <c r="O17" s="103">
        <f>'SET SP Sta.Mría'!J9</f>
        <v>0.49</v>
      </c>
      <c r="P17" s="41"/>
      <c r="Q17" s="41"/>
      <c r="R17" s="41"/>
      <c r="S17" s="41"/>
      <c r="T17" s="41"/>
      <c r="U17" s="41"/>
      <c r="V17" s="92"/>
      <c r="W17" s="95"/>
      <c r="X17" s="95"/>
      <c r="Y17" s="41"/>
      <c r="Z17" s="41"/>
    </row>
    <row r="18" ht="17.25" customHeight="1">
      <c r="A18" s="99" t="str">
        <f>+'01'!A18:B18</f>
        <v>META  AÑO 2025</v>
      </c>
      <c r="B18" s="55"/>
      <c r="C18" s="101">
        <f t="shared" ref="C18:N18" si="2">$O$18</f>
        <v>0.6</v>
      </c>
      <c r="D18" s="101">
        <f t="shared" si="2"/>
        <v>0.6</v>
      </c>
      <c r="E18" s="101">
        <f t="shared" si="2"/>
        <v>0.6</v>
      </c>
      <c r="F18" s="101">
        <f t="shared" si="2"/>
        <v>0.6</v>
      </c>
      <c r="G18" s="101">
        <f t="shared" si="2"/>
        <v>0.6</v>
      </c>
      <c r="H18" s="101">
        <f t="shared" si="2"/>
        <v>0.6</v>
      </c>
      <c r="I18" s="101">
        <f t="shared" si="2"/>
        <v>0.6</v>
      </c>
      <c r="J18" s="101">
        <f t="shared" si="2"/>
        <v>0.6</v>
      </c>
      <c r="K18" s="101">
        <f t="shared" si="2"/>
        <v>0.6</v>
      </c>
      <c r="L18" s="101">
        <f t="shared" si="2"/>
        <v>0.6</v>
      </c>
      <c r="M18" s="101">
        <f t="shared" si="2"/>
        <v>0.6</v>
      </c>
      <c r="N18" s="101">
        <f t="shared" si="2"/>
        <v>0.6</v>
      </c>
      <c r="O18" s="103">
        <f>'SET SP Sta.Mría'!K9</f>
        <v>0.6</v>
      </c>
      <c r="P18" s="41"/>
      <c r="Q18" s="41"/>
      <c r="R18" s="41"/>
      <c r="S18" s="41"/>
      <c r="T18" s="41"/>
      <c r="U18" s="41"/>
      <c r="V18" s="92"/>
      <c r="W18" s="95"/>
      <c r="X18" s="95"/>
      <c r="Y18" s="41"/>
      <c r="Z18" s="41"/>
    </row>
    <row r="19" ht="17.25" customHeight="1">
      <c r="A19" s="106" t="s">
        <v>91</v>
      </c>
      <c r="B19" s="55"/>
      <c r="C19" s="107">
        <f t="shared" ref="C19:O19" si="3">IF((C21),C20/C21,"-")</f>
        <v>0.8511681048</v>
      </c>
      <c r="D19" s="107">
        <f t="shared" si="3"/>
        <v>0.8205625028</v>
      </c>
      <c r="E19" s="107">
        <f t="shared" si="3"/>
        <v>0.8409049435</v>
      </c>
      <c r="F19" s="107">
        <f t="shared" si="3"/>
        <v>0.8556515272</v>
      </c>
      <c r="G19" s="107">
        <f t="shared" si="3"/>
        <v>0.8077193646</v>
      </c>
      <c r="H19" s="107">
        <f t="shared" si="3"/>
        <v>1.524172456</v>
      </c>
      <c r="I19" s="107">
        <f t="shared" si="3"/>
        <v>0.852775756</v>
      </c>
      <c r="J19" s="107">
        <f t="shared" si="3"/>
        <v>0.8733072445</v>
      </c>
      <c r="K19" s="107">
        <f t="shared" si="3"/>
        <v>0.8554080766</v>
      </c>
      <c r="L19" s="107">
        <f t="shared" si="3"/>
        <v>0.801696961</v>
      </c>
      <c r="M19" s="107">
        <f t="shared" si="3"/>
        <v>0.8395727753</v>
      </c>
      <c r="N19" s="107">
        <f t="shared" si="3"/>
        <v>0.8470647476</v>
      </c>
      <c r="O19" s="109">
        <f t="shared" si="3"/>
        <v>0.8962753723</v>
      </c>
      <c r="P19" s="41"/>
      <c r="Q19" s="41"/>
      <c r="R19" s="41"/>
      <c r="S19" s="41"/>
      <c r="T19" s="41"/>
      <c r="U19" s="41"/>
      <c r="V19" s="92"/>
      <c r="W19" s="95"/>
      <c r="X19" s="95"/>
      <c r="Y19" s="41"/>
      <c r="Z19" s="41"/>
    </row>
    <row r="20" ht="18.75" customHeight="1">
      <c r="A20" s="110" t="s">
        <v>92</v>
      </c>
      <c r="B20" s="111" t="s">
        <v>96</v>
      </c>
      <c r="C20" s="112">
        <f>+'STA MARIA2020'!D33</f>
        <v>37435650</v>
      </c>
      <c r="D20" s="112">
        <f>+'STA MARIA2020'!E33</f>
        <v>32333650</v>
      </c>
      <c r="E20" s="112">
        <f>+'STA MARIA2020'!F33</f>
        <v>35021000</v>
      </c>
      <c r="F20" s="112">
        <f>+'STA MARIA2020'!G33</f>
        <v>37965900</v>
      </c>
      <c r="G20" s="112">
        <f>+'STA MARIA2020'!H33</f>
        <v>34461400</v>
      </c>
      <c r="H20" s="112">
        <f>+'STA MARIA2020'!I33</f>
        <v>65123850</v>
      </c>
      <c r="I20" s="112">
        <f>+'STA MARIA2020'!J33</f>
        <v>40428150</v>
      </c>
      <c r="J20" s="112">
        <f>+'STA MARIA2020'!K33</f>
        <v>40107450</v>
      </c>
      <c r="K20" s="112">
        <f>+'STA MARIA2020'!L33</f>
        <v>40562250</v>
      </c>
      <c r="L20" s="112">
        <f>+'STA MARIA2020'!M33</f>
        <v>34081455</v>
      </c>
      <c r="M20" s="112">
        <f>+'STA MARIA2020'!N33</f>
        <v>39631200</v>
      </c>
      <c r="N20" s="112">
        <f>+'STA MARIA2020'!O33</f>
        <v>38249650</v>
      </c>
      <c r="O20" s="113">
        <f t="shared" ref="O20:O21" si="4">SUM(C20:N20)</f>
        <v>475401605</v>
      </c>
      <c r="P20" s="41"/>
      <c r="Q20" s="114"/>
      <c r="R20" s="41"/>
      <c r="S20" s="41"/>
      <c r="T20" s="41"/>
      <c r="U20" s="41"/>
      <c r="V20" s="92"/>
      <c r="W20" s="95"/>
      <c r="X20" s="95"/>
      <c r="Y20" s="41"/>
      <c r="Z20" s="41"/>
    </row>
    <row r="21" ht="15.75" customHeight="1">
      <c r="A21" s="115"/>
      <c r="B21" s="111" t="s">
        <v>99</v>
      </c>
      <c r="C21" s="112">
        <f>+'STA MARIA2020'!D$26+'STA MARIA2020'!D$28+'STA MARIA2020'!D$30</f>
        <v>43981500</v>
      </c>
      <c r="D21" s="112">
        <f>+'STA MARIA2020'!E$26+'STA MARIA2020'!E$28+'STA MARIA2020'!E$30</f>
        <v>39404250</v>
      </c>
      <c r="E21" s="112">
        <f>+'STA MARIA2020'!F$26+'STA MARIA2020'!F$28+'STA MARIA2020'!F$30</f>
        <v>41646800</v>
      </c>
      <c r="F21" s="112">
        <f>+'STA MARIA2020'!G$26+'STA MARIA2020'!G$28+'STA MARIA2020'!G$30</f>
        <v>44370750</v>
      </c>
      <c r="G21" s="112">
        <f>+'STA MARIA2020'!H$26+'STA MARIA2020'!H$28+'STA MARIA2020'!H$30</f>
        <v>42665066</v>
      </c>
      <c r="H21" s="112">
        <f>+'STA MARIA2020'!I$26+'STA MARIA2020'!I$28+'STA MARIA2020'!I$30</f>
        <v>42727350</v>
      </c>
      <c r="I21" s="112">
        <f>+'STA MARIA2020'!J$26+'STA MARIA2020'!J$28+'STA MARIA2020'!J$30</f>
        <v>47407715</v>
      </c>
      <c r="J21" s="112">
        <f>+'STA MARIA2020'!K$26+'STA MARIA2020'!K$28+'STA MARIA2020'!K$30</f>
        <v>45925933</v>
      </c>
      <c r="K21" s="112">
        <f>+'STA MARIA2020'!L$26+'STA MARIA2020'!L$28+'STA MARIA2020'!L$30</f>
        <v>47418596</v>
      </c>
      <c r="L21" s="112">
        <f>+'STA MARIA2020'!M$26+'STA MARIA2020'!M$28+'STA MARIA2020'!M$30</f>
        <v>42511643</v>
      </c>
      <c r="M21" s="112">
        <f>+'STA MARIA2020'!N$26+'STA MARIA2020'!N$28+'STA MARIA2020'!N$30</f>
        <v>47204008</v>
      </c>
      <c r="N21" s="112">
        <f>+'STA MARIA2020'!O$26+'STA MARIA2020'!O$28+'STA MARIA2020'!O$30</f>
        <v>45155521</v>
      </c>
      <c r="O21" s="113">
        <f t="shared" si="4"/>
        <v>530419132</v>
      </c>
      <c r="P21" s="41"/>
      <c r="Q21" s="114"/>
      <c r="R21" s="41"/>
      <c r="S21" s="41"/>
      <c r="T21" s="41"/>
      <c r="U21" s="41"/>
      <c r="V21" s="92"/>
      <c r="W21" s="95"/>
      <c r="X21" s="95"/>
      <c r="Y21" s="41"/>
      <c r="Z21" s="41"/>
    </row>
    <row r="22" ht="17.2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8.0"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33.0" customHeight="1">
      <c r="A24" s="125" t="s">
        <v>113</v>
      </c>
      <c r="B24" s="36"/>
      <c r="C24" s="69"/>
      <c r="D24" s="129" t="str">
        <f>'SET SP Sta.Mría'!$G9</f>
        <v>Entre 71% y 100%</v>
      </c>
      <c r="E24" s="127"/>
      <c r="F24" s="127"/>
      <c r="G24" s="128"/>
      <c r="H24" s="129" t="str">
        <f>'SET SP Sta.Mría'!$H9</f>
        <v>Entre 60% y 70%</v>
      </c>
      <c r="I24" s="127"/>
      <c r="J24" s="127"/>
      <c r="K24" s="128"/>
      <c r="L24" s="129" t="str">
        <f>'SET SP Sta.Mría'!$I9</f>
        <v>Menor al 59%</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52.75" customHeight="1">
      <c r="A27" s="139"/>
      <c r="B27" s="88"/>
      <c r="C27" s="88"/>
      <c r="D27" s="88"/>
      <c r="E27" s="88"/>
      <c r="F27" s="88"/>
      <c r="G27" s="88"/>
      <c r="H27" s="88"/>
      <c r="I27" s="88"/>
      <c r="J27" s="88"/>
      <c r="K27" s="88"/>
      <c r="L27" s="88"/>
      <c r="M27" s="88"/>
      <c r="N27" s="88"/>
      <c r="O27" s="89"/>
      <c r="P27" s="41"/>
      <c r="Q27" s="41"/>
      <c r="R27" s="41"/>
      <c r="S27" s="41"/>
      <c r="T27" s="41"/>
      <c r="U27" s="41"/>
      <c r="V27" s="92"/>
      <c r="W27" s="41"/>
      <c r="X27" s="41"/>
      <c r="Y27" s="41"/>
      <c r="Z27" s="41"/>
    </row>
    <row r="28" ht="15.0" customHeight="1">
      <c r="A28" s="140" t="s">
        <v>125</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2.75" customHeight="1">
      <c r="A29" s="143" t="s">
        <v>128</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2.75" customHeight="1">
      <c r="A30" s="143" t="s">
        <v>130</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2.75" customHeight="1">
      <c r="A31" s="143" t="s">
        <v>133</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8.75" customHeight="1">
      <c r="A32" s="143" t="s">
        <v>139</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2.75" customHeight="1">
      <c r="A33" s="143" t="s">
        <v>141</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2.75" customHeight="1">
      <c r="A34" s="143" t="s">
        <v>143</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2.75" customHeight="1">
      <c r="A35" s="143" t="s">
        <v>151</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3" t="s">
        <v>156</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3" t="s">
        <v>159</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3" t="s">
        <v>163</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3" t="s">
        <v>165</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3" t="s">
        <v>174</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5.0" customHeight="1">
      <c r="A41" s="140" t="s">
        <v>179</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24.0" customHeight="1">
      <c r="A42" s="143" t="s">
        <v>180</v>
      </c>
      <c r="B42" s="54"/>
      <c r="C42" s="54"/>
      <c r="D42" s="54"/>
      <c r="E42" s="54"/>
      <c r="F42" s="54"/>
      <c r="G42" s="54"/>
      <c r="H42" s="54"/>
      <c r="I42" s="54"/>
      <c r="J42" s="54"/>
      <c r="K42" s="54"/>
      <c r="L42" s="54"/>
      <c r="M42" s="55"/>
      <c r="N42" s="146"/>
      <c r="O42" s="59"/>
      <c r="P42" s="41"/>
      <c r="Q42" s="41"/>
      <c r="R42" s="41"/>
      <c r="S42" s="41"/>
      <c r="T42" s="41"/>
      <c r="U42" s="41"/>
      <c r="V42" s="41"/>
      <c r="W42" s="41"/>
      <c r="X42" s="41"/>
      <c r="Y42" s="41"/>
      <c r="Z42" s="41"/>
    </row>
    <row r="43" ht="24.0" customHeight="1">
      <c r="A43" s="147"/>
      <c r="B43" s="54"/>
      <c r="C43" s="54"/>
      <c r="D43" s="54"/>
      <c r="E43" s="54"/>
      <c r="F43" s="54"/>
      <c r="G43" s="54"/>
      <c r="H43" s="54"/>
      <c r="I43" s="54"/>
      <c r="J43" s="54"/>
      <c r="K43" s="54"/>
      <c r="L43" s="54"/>
      <c r="M43" s="55"/>
      <c r="N43" s="146"/>
      <c r="O43" s="59"/>
      <c r="P43" s="41"/>
      <c r="Q43" s="41"/>
      <c r="R43" s="41"/>
      <c r="S43" s="41"/>
      <c r="T43" s="41"/>
      <c r="U43" s="41"/>
      <c r="V43" s="41"/>
      <c r="W43" s="41"/>
      <c r="X43" s="41"/>
      <c r="Y43" s="41"/>
      <c r="Z43" s="41"/>
    </row>
    <row r="44" ht="24.0" customHeight="1">
      <c r="A44" s="147"/>
      <c r="B44" s="54"/>
      <c r="C44" s="54"/>
      <c r="D44" s="54"/>
      <c r="E44" s="54"/>
      <c r="F44" s="54"/>
      <c r="G44" s="54"/>
      <c r="H44" s="54"/>
      <c r="I44" s="54"/>
      <c r="J44" s="54"/>
      <c r="K44" s="54"/>
      <c r="L44" s="54"/>
      <c r="M44" s="55"/>
      <c r="N44" s="146"/>
      <c r="O44" s="59"/>
      <c r="P44" s="41"/>
      <c r="Q44" s="41"/>
      <c r="R44" s="41"/>
      <c r="S44" s="41"/>
      <c r="T44" s="41"/>
      <c r="U44" s="41"/>
      <c r="V44" s="41"/>
      <c r="W44" s="41"/>
      <c r="X44" s="41"/>
      <c r="Y44" s="41"/>
      <c r="Z44" s="41"/>
    </row>
    <row r="45" ht="6.75" customHeight="1">
      <c r="A45" s="148"/>
      <c r="B45" s="88"/>
      <c r="C45" s="88"/>
      <c r="D45" s="88"/>
      <c r="E45" s="88"/>
      <c r="F45" s="88"/>
      <c r="G45" s="88"/>
      <c r="H45" s="88"/>
      <c r="I45" s="88"/>
      <c r="J45" s="88"/>
      <c r="K45" s="88"/>
      <c r="L45" s="88"/>
      <c r="M45" s="88"/>
      <c r="N45" s="88"/>
      <c r="O45" s="149"/>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187</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188</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189</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190</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191</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192</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196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206</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72</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213</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215</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217</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50" t="s">
        <v>218</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8">
        <v>0.73</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58">
        <v>0.75</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8">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M44"/>
    <mergeCell ref="N44:O44"/>
    <mergeCell ref="A45:O45"/>
    <mergeCell ref="A40:M40"/>
    <mergeCell ref="N40:O40"/>
    <mergeCell ref="A41:M41"/>
    <mergeCell ref="N41:O41"/>
    <mergeCell ref="A42:M42"/>
    <mergeCell ref="N42:O42"/>
    <mergeCell ref="N43:O43"/>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4" width="9.0"/>
    <col customWidth="1" min="5" max="5" width="9.14"/>
    <col customWidth="1" min="6" max="7" width="9.86"/>
    <col customWidth="1" min="8" max="8" width="9.0"/>
    <col customWidth="1" min="9" max="9" width="9.57"/>
    <col customWidth="1" min="10" max="10" width="9.86"/>
    <col customWidth="1" min="11" max="11" width="7.71"/>
    <col customWidth="1" min="12" max="12" width="8.29"/>
    <col customWidth="1" min="13" max="14" width="7.71"/>
    <col customWidth="1" min="15" max="15" width="9.86"/>
    <col customWidth="1" min="16" max="16" width="7.0"/>
    <col customWidth="1" hidden="1" min="17" max="18" width="7.0"/>
    <col customWidth="1" min="19" max="19" width="7.0"/>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1.2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0" customHeight="1">
      <c r="A3" s="42"/>
      <c r="D3" s="38" t="s">
        <v>40</v>
      </c>
      <c r="E3" s="36"/>
      <c r="F3" s="36"/>
      <c r="G3" s="36"/>
      <c r="H3" s="36"/>
      <c r="I3" s="36"/>
      <c r="J3" s="36"/>
      <c r="K3" s="36"/>
      <c r="L3" s="36"/>
      <c r="M3" s="36"/>
      <c r="N3" s="36"/>
      <c r="O3" s="40"/>
      <c r="P3" s="41"/>
      <c r="Q3" s="41"/>
      <c r="R3" s="41"/>
      <c r="S3" s="41"/>
      <c r="T3" s="41"/>
      <c r="U3" s="41"/>
      <c r="V3" s="41"/>
      <c r="W3" s="41"/>
      <c r="X3" s="41"/>
      <c r="Y3" s="41"/>
      <c r="Z3" s="41"/>
    </row>
    <row r="4" ht="11.25"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Sta.Mría'!$B10</f>
        <v>Rotación de Cartera</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Sta.Mría'!F10</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Sta.Mría'!A10</f>
        <v>IN03</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57.75" customHeight="1">
      <c r="A11" s="80" t="str">
        <f>'SET SP Sta.Mría'!$C10</f>
        <v>Controlar la cartera existentes de servicios publicos por edades con el fin de evaluar la rotación de la misma.</v>
      </c>
      <c r="B11" s="63"/>
      <c r="C11" s="63"/>
      <c r="D11" s="64"/>
      <c r="E11" s="81" t="s">
        <v>71</v>
      </c>
      <c r="F11" s="82" t="str">
        <f>'SET SP Sta.Mría'!$D10</f>
        <v>(Cuentas por Cobrar  a particulares y/o oficiales /  Valor Facturado Usuarios particulares y/o oficiales) x 365</v>
      </c>
      <c r="G11" s="64"/>
      <c r="H11" s="85">
        <f>$O18</f>
        <v>20</v>
      </c>
      <c r="I11" s="84" t="str">
        <f>'SET SP Sta.Mría'!$E10</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78</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tr">
        <f>+'02'!A15:O15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2">
        <f t="shared" ref="C17:N17" si="1">$O$17</f>
        <v>30</v>
      </c>
      <c r="D17" s="102">
        <f t="shared" si="1"/>
        <v>30</v>
      </c>
      <c r="E17" s="102">
        <f t="shared" si="1"/>
        <v>30</v>
      </c>
      <c r="F17" s="102">
        <f t="shared" si="1"/>
        <v>30</v>
      </c>
      <c r="G17" s="102">
        <f t="shared" si="1"/>
        <v>30</v>
      </c>
      <c r="H17" s="102">
        <f t="shared" si="1"/>
        <v>30</v>
      </c>
      <c r="I17" s="102">
        <f t="shared" si="1"/>
        <v>30</v>
      </c>
      <c r="J17" s="102">
        <f t="shared" si="1"/>
        <v>30</v>
      </c>
      <c r="K17" s="102">
        <f t="shared" si="1"/>
        <v>30</v>
      </c>
      <c r="L17" s="102">
        <f t="shared" si="1"/>
        <v>30</v>
      </c>
      <c r="M17" s="102">
        <f t="shared" si="1"/>
        <v>30</v>
      </c>
      <c r="N17" s="102">
        <f t="shared" si="1"/>
        <v>30</v>
      </c>
      <c r="O17" s="105">
        <f>'SET SP Sta.Mría'!J10</f>
        <v>30</v>
      </c>
      <c r="P17" s="41"/>
      <c r="Q17" s="41"/>
      <c r="R17" s="41"/>
      <c r="S17" s="41"/>
      <c r="T17" s="41"/>
      <c r="U17" s="41"/>
      <c r="V17" s="92"/>
      <c r="W17" s="95"/>
      <c r="X17" s="95"/>
      <c r="Y17" s="41"/>
      <c r="Z17" s="41"/>
    </row>
    <row r="18" ht="17.25" customHeight="1">
      <c r="A18" s="99" t="str">
        <f>+'02'!A18:B18</f>
        <v>META  AÑO 2025</v>
      </c>
      <c r="B18" s="55"/>
      <c r="C18" s="102">
        <f t="shared" ref="C18:N18" si="2">$O$18</f>
        <v>20</v>
      </c>
      <c r="D18" s="102">
        <f t="shared" si="2"/>
        <v>20</v>
      </c>
      <c r="E18" s="102">
        <f t="shared" si="2"/>
        <v>20</v>
      </c>
      <c r="F18" s="102">
        <f t="shared" si="2"/>
        <v>20</v>
      </c>
      <c r="G18" s="102">
        <f t="shared" si="2"/>
        <v>20</v>
      </c>
      <c r="H18" s="102">
        <f t="shared" si="2"/>
        <v>20</v>
      </c>
      <c r="I18" s="102">
        <f t="shared" si="2"/>
        <v>20</v>
      </c>
      <c r="J18" s="102">
        <f t="shared" si="2"/>
        <v>20</v>
      </c>
      <c r="K18" s="102">
        <f t="shared" si="2"/>
        <v>20</v>
      </c>
      <c r="L18" s="102">
        <f t="shared" si="2"/>
        <v>20</v>
      </c>
      <c r="M18" s="102">
        <f t="shared" si="2"/>
        <v>20</v>
      </c>
      <c r="N18" s="102">
        <f t="shared" si="2"/>
        <v>20</v>
      </c>
      <c r="O18" s="105">
        <f>'SET SP Sta.Mría'!K10</f>
        <v>20</v>
      </c>
      <c r="P18" s="41"/>
      <c r="Q18" s="41"/>
      <c r="R18" s="41"/>
      <c r="S18" s="41"/>
      <c r="T18" s="41"/>
      <c r="U18" s="41"/>
      <c r="V18" s="92"/>
      <c r="W18" s="95"/>
      <c r="X18" s="95"/>
      <c r="Y18" s="41"/>
      <c r="Z18" s="41"/>
    </row>
    <row r="19" ht="17.25" customHeight="1">
      <c r="A19" s="106" t="s">
        <v>91</v>
      </c>
      <c r="B19" s="55"/>
      <c r="C19" s="108">
        <f>IF((C22),(C20/C22)*30,"-")</f>
        <v>5.014418763</v>
      </c>
      <c r="D19" s="108">
        <f>IF((D22),(D20/D22)*60,"-")</f>
        <v>5.86949038</v>
      </c>
      <c r="E19" s="108">
        <f>IF((E22),(E20/E22)*90,"-")</f>
        <v>5.60865138</v>
      </c>
      <c r="F19" s="108">
        <f>IF((F22),(F20/F22)*120,"-")</f>
        <v>5.338075029</v>
      </c>
      <c r="G19" s="108">
        <f>IF((G22),(G20/G22)*150,"-")</f>
        <v>6.810763517</v>
      </c>
      <c r="H19" s="108">
        <f>IF((H22),(H20/H22)*180,"-")</f>
        <v>-18.69872215</v>
      </c>
      <c r="I19" s="108">
        <f>IF((I22),(I20/I22)*220,"-")</f>
        <v>5.963730869</v>
      </c>
      <c r="J19" s="108">
        <f>IF((J22),(J20/J22)*250,"-")</f>
        <v>4.899068058</v>
      </c>
      <c r="K19" s="108">
        <f>IF((K22),(K20/K22)*280,"-")</f>
        <v>5.682091773</v>
      </c>
      <c r="L19" s="108">
        <f>IF((L22),(L20/L22)*310,"-")</f>
        <v>7.002034725</v>
      </c>
      <c r="M19" s="108">
        <f>IF((M22),(M20/M22)*330,"-")</f>
        <v>6.062519131</v>
      </c>
      <c r="N19" s="108">
        <f t="shared" ref="N19:O19" si="3">IF((N22),(N20/N22)*365,"-")</f>
        <v>5.60410071</v>
      </c>
      <c r="O19" s="116">
        <f t="shared" si="3"/>
        <v>3.72055123</v>
      </c>
      <c r="P19" s="41"/>
      <c r="Q19" s="41"/>
      <c r="R19" s="41"/>
      <c r="S19" s="41"/>
      <c r="T19" s="41"/>
      <c r="U19" s="41"/>
      <c r="V19" s="92"/>
      <c r="W19" s="95"/>
      <c r="X19" s="95"/>
      <c r="Y19" s="41"/>
      <c r="Z19" s="41"/>
    </row>
    <row r="20" ht="24.75" customHeight="1">
      <c r="A20" s="110" t="s">
        <v>92</v>
      </c>
      <c r="B20" s="111" t="s">
        <v>103</v>
      </c>
      <c r="C20" s="112">
        <f>+'STA MARIA2020'!D37</f>
        <v>6545850</v>
      </c>
      <c r="D20" s="112">
        <f>+'STA MARIA2020'!E37</f>
        <v>7070600</v>
      </c>
      <c r="E20" s="112">
        <f>+'STA MARIA2020'!F37</f>
        <v>6625800</v>
      </c>
      <c r="F20" s="112">
        <f>+'STA MARIA2020'!G37</f>
        <v>6404850</v>
      </c>
      <c r="G20" s="112">
        <f>+'STA MARIA2020'!H37</f>
        <v>8203666</v>
      </c>
      <c r="H20" s="112">
        <f>+'STA MARIA2020'!I37</f>
        <v>-22396500</v>
      </c>
      <c r="I20" s="112">
        <f>+'STA MARIA2020'!J37</f>
        <v>6979565</v>
      </c>
      <c r="J20" s="112">
        <f>+'STA MARIA2020'!K37</f>
        <v>5818483</v>
      </c>
      <c r="K20" s="112">
        <f>+'STA MARIA2020'!L37</f>
        <v>6856346</v>
      </c>
      <c r="L20" s="112">
        <f>+'STA MARIA2020'!M37</f>
        <v>8430188</v>
      </c>
      <c r="M20" s="112">
        <f>+'STA MARIA2020'!N37</f>
        <v>7572808</v>
      </c>
      <c r="N20" s="112">
        <f>+'STA MARIA2020'!O37</f>
        <v>6905871</v>
      </c>
      <c r="O20" s="113">
        <f>AVERAGE(C20:N20)</f>
        <v>4584793.917</v>
      </c>
      <c r="P20" s="41"/>
      <c r="Q20" s="41"/>
      <c r="R20" s="41"/>
      <c r="S20" s="41"/>
      <c r="T20" s="41"/>
      <c r="U20" s="41"/>
      <c r="V20" s="92"/>
      <c r="W20" s="95"/>
      <c r="X20" s="95"/>
      <c r="Y20" s="41"/>
      <c r="Z20" s="41"/>
    </row>
    <row r="21" ht="24.75" customHeight="1">
      <c r="A21" s="115"/>
      <c r="B21" s="111" t="s">
        <v>106</v>
      </c>
      <c r="C21" s="112">
        <f>'01'!C21</f>
        <v>39162166</v>
      </c>
      <c r="D21" s="112">
        <f>'01'!D21</f>
        <v>33116000</v>
      </c>
      <c r="E21" s="112">
        <f>'01'!E21</f>
        <v>34043650</v>
      </c>
      <c r="F21" s="112">
        <f>'01'!F21</f>
        <v>37659300</v>
      </c>
      <c r="G21" s="112">
        <f>'01'!G21</f>
        <v>36696116</v>
      </c>
      <c r="H21" s="112">
        <f>'01'!H21</f>
        <v>34918784</v>
      </c>
      <c r="I21" s="112">
        <f>'01'!I21</f>
        <v>41877759</v>
      </c>
      <c r="J21" s="112">
        <f>'01'!J21</f>
        <v>39444074</v>
      </c>
      <c r="K21" s="112">
        <f>'01'!K21</f>
        <v>40946613</v>
      </c>
      <c r="L21" s="112">
        <f>'01'!L21</f>
        <v>35363947</v>
      </c>
      <c r="M21" s="112">
        <f>'01'!M21</f>
        <v>38980870</v>
      </c>
      <c r="N21" s="112">
        <f>'01'!N21</f>
        <v>37576163</v>
      </c>
      <c r="O21" s="113">
        <f>SUM(C21:N21)</f>
        <v>449785442</v>
      </c>
      <c r="P21" s="41"/>
      <c r="Q21" s="41"/>
      <c r="R21" s="41"/>
      <c r="S21" s="41"/>
      <c r="T21" s="41"/>
      <c r="U21" s="41"/>
      <c r="V21" s="92"/>
      <c r="W21" s="95"/>
      <c r="X21" s="95"/>
      <c r="Y21" s="41"/>
      <c r="Z21" s="41"/>
    </row>
    <row r="22" ht="23.25" customHeight="1">
      <c r="A22" s="115"/>
      <c r="B22" s="111" t="s">
        <v>116</v>
      </c>
      <c r="C22" s="112">
        <f>C21</f>
        <v>39162166</v>
      </c>
      <c r="D22" s="112">
        <f t="shared" ref="D22:N22" si="4">C22+D21</f>
        <v>72278166</v>
      </c>
      <c r="E22" s="112">
        <f t="shared" si="4"/>
        <v>106321816</v>
      </c>
      <c r="F22" s="112">
        <f t="shared" si="4"/>
        <v>143981116</v>
      </c>
      <c r="G22" s="112">
        <f t="shared" si="4"/>
        <v>180677232</v>
      </c>
      <c r="H22" s="112">
        <f t="shared" si="4"/>
        <v>215596016</v>
      </c>
      <c r="I22" s="112">
        <f t="shared" si="4"/>
        <v>257473775</v>
      </c>
      <c r="J22" s="112">
        <f t="shared" si="4"/>
        <v>296917849</v>
      </c>
      <c r="K22" s="112">
        <f t="shared" si="4"/>
        <v>337864462</v>
      </c>
      <c r="L22" s="112">
        <f t="shared" si="4"/>
        <v>373228409</v>
      </c>
      <c r="M22" s="112">
        <f t="shared" si="4"/>
        <v>412209279</v>
      </c>
      <c r="N22" s="112">
        <f t="shared" si="4"/>
        <v>449785442</v>
      </c>
      <c r="O22" s="113">
        <f>MAX(C22:N22)</f>
        <v>449785442</v>
      </c>
      <c r="P22" s="41"/>
      <c r="Q22" s="41"/>
      <c r="R22" s="41"/>
      <c r="S22" s="41"/>
      <c r="T22" s="41"/>
      <c r="U22" s="41"/>
      <c r="V22" s="92"/>
      <c r="W22" s="95"/>
      <c r="X22" s="95"/>
      <c r="Y22" s="41"/>
      <c r="Z22" s="41"/>
    </row>
    <row r="23" ht="17.25" customHeight="1">
      <c r="A23" s="115"/>
      <c r="B23" s="117"/>
      <c r="C23" s="118"/>
      <c r="D23" s="118"/>
      <c r="E23" s="118"/>
      <c r="F23" s="118"/>
      <c r="G23" s="118"/>
      <c r="H23" s="118"/>
      <c r="I23" s="118"/>
      <c r="J23" s="118"/>
      <c r="K23" s="118"/>
      <c r="L23" s="118"/>
      <c r="M23" s="118"/>
      <c r="N23" s="118"/>
      <c r="O23" s="119"/>
      <c r="P23" s="41"/>
      <c r="Q23" s="41"/>
      <c r="R23" s="41"/>
      <c r="S23" s="41"/>
      <c r="T23" s="41"/>
      <c r="U23" s="41"/>
      <c r="V23" s="92"/>
      <c r="W23" s="95"/>
      <c r="X23" s="95"/>
      <c r="Y23" s="41"/>
      <c r="Z23" s="41"/>
    </row>
    <row r="24" ht="18.0" customHeight="1">
      <c r="A24" s="120"/>
      <c r="B24" s="123" t="s">
        <v>107</v>
      </c>
      <c r="C24" s="122"/>
      <c r="D24" s="122"/>
      <c r="E24" s="122"/>
      <c r="F24" s="122"/>
      <c r="G24" s="122"/>
      <c r="H24" s="122"/>
      <c r="I24" s="122"/>
      <c r="J24" s="122"/>
      <c r="K24" s="122"/>
      <c r="L24" s="122"/>
      <c r="M24" s="122"/>
      <c r="N24" s="122"/>
      <c r="O24" s="124"/>
      <c r="P24" s="41"/>
      <c r="Q24" s="41"/>
      <c r="R24" s="41"/>
      <c r="S24" s="41"/>
      <c r="T24" s="41"/>
      <c r="U24" s="41"/>
      <c r="V24" s="92"/>
      <c r="W24" s="95"/>
      <c r="X24" s="95"/>
      <c r="Y24" s="41"/>
      <c r="Z24" s="41"/>
    </row>
    <row r="25" ht="14.25" customHeight="1">
      <c r="A25" s="125" t="s">
        <v>113</v>
      </c>
      <c r="B25" s="36"/>
      <c r="C25" s="69"/>
      <c r="D25" s="126" t="str">
        <f>'SET SP Sta.Mría'!$G10</f>
        <v>Menor a 31 días</v>
      </c>
      <c r="E25" s="127"/>
      <c r="F25" s="127"/>
      <c r="G25" s="128"/>
      <c r="H25" s="126" t="str">
        <f>'SET SP Sta.Mría'!$H10</f>
        <v>Entre 31 y 45 días</v>
      </c>
      <c r="I25" s="127"/>
      <c r="J25" s="127"/>
      <c r="K25" s="128"/>
      <c r="L25" s="126" t="str">
        <f>'SET SP Sta.Mría'!$I10</f>
        <v>Mayor a 45 días</v>
      </c>
      <c r="M25" s="127"/>
      <c r="N25" s="127"/>
      <c r="O25" s="128"/>
      <c r="P25" s="41"/>
      <c r="Q25" s="41"/>
      <c r="R25" s="41"/>
      <c r="S25" s="41"/>
      <c r="T25" s="41"/>
      <c r="U25" s="41"/>
      <c r="V25" s="92"/>
      <c r="W25" s="95"/>
      <c r="X25" s="95"/>
      <c r="Y25" s="41"/>
      <c r="Z25" s="41"/>
    </row>
    <row r="26" ht="33.0" customHeight="1">
      <c r="A26" s="46"/>
      <c r="B26" s="44"/>
      <c r="C26" s="130"/>
      <c r="D26" s="131" t="s">
        <v>15</v>
      </c>
      <c r="E26" s="132"/>
      <c r="F26" s="132"/>
      <c r="G26" s="133"/>
      <c r="H26" s="134" t="s">
        <v>16</v>
      </c>
      <c r="I26" s="132"/>
      <c r="J26" s="132"/>
      <c r="K26" s="133"/>
      <c r="L26" s="135" t="s">
        <v>17</v>
      </c>
      <c r="M26" s="132"/>
      <c r="N26" s="132"/>
      <c r="O26" s="136"/>
      <c r="P26" s="41"/>
      <c r="Q26" s="41"/>
      <c r="R26" s="41"/>
      <c r="S26" s="41"/>
      <c r="T26" s="41"/>
      <c r="U26" s="41"/>
      <c r="V26" s="92"/>
      <c r="W26" s="95"/>
      <c r="X26" s="95"/>
      <c r="Y26" s="41"/>
      <c r="Z26" s="41"/>
    </row>
    <row r="27" ht="15.75" customHeight="1">
      <c r="A27" s="137" t="s">
        <v>117</v>
      </c>
      <c r="B27" s="132"/>
      <c r="C27" s="132"/>
      <c r="D27" s="132"/>
      <c r="E27" s="132"/>
      <c r="F27" s="132"/>
      <c r="G27" s="132"/>
      <c r="H27" s="132"/>
      <c r="I27" s="132"/>
      <c r="J27" s="132"/>
      <c r="K27" s="132"/>
      <c r="L27" s="132"/>
      <c r="M27" s="132"/>
      <c r="N27" s="132"/>
      <c r="O27" s="136"/>
      <c r="P27" s="41"/>
      <c r="Q27" s="41"/>
      <c r="R27" s="41"/>
      <c r="S27" s="41"/>
      <c r="T27" s="41"/>
      <c r="U27" s="41"/>
      <c r="V27" s="92"/>
      <c r="W27" s="95"/>
      <c r="X27" s="95"/>
      <c r="Y27" s="41"/>
      <c r="Z27" s="41"/>
    </row>
    <row r="28" ht="264.75" customHeight="1">
      <c r="A28" s="138"/>
      <c r="B28" s="127"/>
      <c r="C28" s="127"/>
      <c r="D28" s="127"/>
      <c r="E28" s="127"/>
      <c r="F28" s="127"/>
      <c r="G28" s="127"/>
      <c r="H28" s="127"/>
      <c r="I28" s="127"/>
      <c r="J28" s="127"/>
      <c r="K28" s="127"/>
      <c r="L28" s="127"/>
      <c r="M28" s="127"/>
      <c r="N28" s="127"/>
      <c r="O28" s="128"/>
      <c r="P28" s="41"/>
      <c r="Q28" s="41"/>
      <c r="R28" s="41"/>
      <c r="S28" s="41"/>
      <c r="T28" s="41"/>
      <c r="U28" s="41"/>
      <c r="V28" s="92"/>
      <c r="W28" s="41"/>
      <c r="X28" s="41"/>
      <c r="Y28" s="41"/>
      <c r="Z28" s="41"/>
    </row>
    <row r="29" ht="15.0" customHeight="1">
      <c r="A29" s="140" t="s">
        <v>158</v>
      </c>
      <c r="B29" s="49"/>
      <c r="C29" s="49"/>
      <c r="D29" s="49"/>
      <c r="E29" s="49"/>
      <c r="F29" s="49"/>
      <c r="G29" s="49"/>
      <c r="H29" s="49"/>
      <c r="I29" s="49"/>
      <c r="J29" s="49"/>
      <c r="K29" s="49"/>
      <c r="L29" s="49"/>
      <c r="M29" s="50"/>
      <c r="N29" s="142" t="s">
        <v>127</v>
      </c>
      <c r="O29" s="52"/>
      <c r="P29" s="41"/>
      <c r="Q29" s="41"/>
      <c r="R29" s="41"/>
      <c r="S29" s="41"/>
      <c r="T29" s="41"/>
      <c r="U29" s="41"/>
      <c r="V29" s="41"/>
      <c r="W29" s="41"/>
      <c r="X29" s="41"/>
      <c r="Y29" s="41"/>
      <c r="Z29" s="41"/>
    </row>
    <row r="30" ht="15.0" customHeight="1">
      <c r="A30" s="143" t="s">
        <v>162</v>
      </c>
      <c r="B30" s="54"/>
      <c r="C30" s="54"/>
      <c r="D30" s="54"/>
      <c r="E30" s="54"/>
      <c r="F30" s="54"/>
      <c r="G30" s="54"/>
      <c r="H30" s="54"/>
      <c r="I30" s="54"/>
      <c r="J30" s="54"/>
      <c r="K30" s="54"/>
      <c r="L30" s="54"/>
      <c r="M30" s="55"/>
      <c r="N30" s="144">
        <v>45658.0</v>
      </c>
      <c r="O30" s="59"/>
      <c r="P30" s="41"/>
      <c r="Q30" s="41"/>
      <c r="R30" s="41"/>
      <c r="S30" s="41"/>
      <c r="T30" s="41"/>
      <c r="U30" s="41"/>
      <c r="V30" s="41"/>
      <c r="W30" s="41"/>
      <c r="X30" s="41"/>
      <c r="Y30" s="41"/>
      <c r="Z30" s="41"/>
    </row>
    <row r="31" ht="15.0" customHeight="1">
      <c r="A31" s="143" t="s">
        <v>166</v>
      </c>
      <c r="B31" s="54"/>
      <c r="C31" s="54"/>
      <c r="D31" s="54"/>
      <c r="E31" s="54"/>
      <c r="F31" s="54"/>
      <c r="G31" s="54"/>
      <c r="H31" s="54"/>
      <c r="I31" s="54"/>
      <c r="J31" s="54"/>
      <c r="K31" s="54"/>
      <c r="L31" s="54"/>
      <c r="M31" s="55"/>
      <c r="N31" s="144">
        <v>45689.0</v>
      </c>
      <c r="O31" s="59"/>
      <c r="P31" s="41"/>
      <c r="Q31" s="41"/>
      <c r="R31" s="41"/>
      <c r="S31" s="41"/>
      <c r="T31" s="41"/>
      <c r="U31" s="41"/>
      <c r="V31" s="41"/>
      <c r="W31" s="41"/>
      <c r="X31" s="41"/>
      <c r="Y31" s="41"/>
      <c r="Z31" s="41"/>
    </row>
    <row r="32" ht="15.0" customHeight="1">
      <c r="A32" s="143" t="s">
        <v>166</v>
      </c>
      <c r="B32" s="54"/>
      <c r="C32" s="54"/>
      <c r="D32" s="54"/>
      <c r="E32" s="54"/>
      <c r="F32" s="54"/>
      <c r="G32" s="54"/>
      <c r="H32" s="54"/>
      <c r="I32" s="54"/>
      <c r="J32" s="54"/>
      <c r="K32" s="54"/>
      <c r="L32" s="54"/>
      <c r="M32" s="55"/>
      <c r="N32" s="144">
        <v>45717.0</v>
      </c>
      <c r="O32" s="59"/>
      <c r="P32" s="41"/>
      <c r="Q32" s="41"/>
      <c r="R32" s="41"/>
      <c r="S32" s="41"/>
      <c r="T32" s="41"/>
      <c r="U32" s="41"/>
      <c r="V32" s="41"/>
      <c r="W32" s="41"/>
      <c r="X32" s="41"/>
      <c r="Y32" s="41"/>
      <c r="Z32" s="41"/>
    </row>
    <row r="33" ht="15.0" customHeight="1">
      <c r="A33" s="143" t="s">
        <v>162</v>
      </c>
      <c r="B33" s="54"/>
      <c r="C33" s="54"/>
      <c r="D33" s="54"/>
      <c r="E33" s="54"/>
      <c r="F33" s="54"/>
      <c r="G33" s="54"/>
      <c r="H33" s="54"/>
      <c r="I33" s="54"/>
      <c r="J33" s="54"/>
      <c r="K33" s="54"/>
      <c r="L33" s="54"/>
      <c r="M33" s="55"/>
      <c r="N33" s="144">
        <v>45748.0</v>
      </c>
      <c r="O33" s="59"/>
      <c r="P33" s="41"/>
      <c r="Q33" s="41"/>
      <c r="R33" s="41"/>
      <c r="S33" s="41"/>
      <c r="T33" s="41"/>
      <c r="U33" s="41"/>
      <c r="V33" s="41"/>
      <c r="W33" s="41"/>
      <c r="X33" s="41"/>
      <c r="Y33" s="41"/>
      <c r="Z33" s="41"/>
    </row>
    <row r="34" ht="15.0" customHeight="1">
      <c r="A34" s="143" t="s">
        <v>181</v>
      </c>
      <c r="B34" s="54"/>
      <c r="C34" s="54"/>
      <c r="D34" s="54"/>
      <c r="E34" s="54"/>
      <c r="F34" s="54"/>
      <c r="G34" s="54"/>
      <c r="H34" s="54"/>
      <c r="I34" s="54"/>
      <c r="J34" s="54"/>
      <c r="K34" s="54"/>
      <c r="L34" s="54"/>
      <c r="M34" s="55"/>
      <c r="N34" s="144">
        <v>45778.0</v>
      </c>
      <c r="O34" s="59"/>
      <c r="P34" s="41"/>
      <c r="Q34" s="41"/>
      <c r="R34" s="41"/>
      <c r="S34" s="41"/>
      <c r="T34" s="41"/>
      <c r="U34" s="41"/>
      <c r="V34" s="41"/>
      <c r="W34" s="41"/>
      <c r="X34" s="41"/>
      <c r="Y34" s="41"/>
      <c r="Z34" s="41"/>
    </row>
    <row r="35" ht="15.0" customHeight="1">
      <c r="A35" s="143" t="s">
        <v>183</v>
      </c>
      <c r="B35" s="54"/>
      <c r="C35" s="54"/>
      <c r="D35" s="54"/>
      <c r="E35" s="54"/>
      <c r="F35" s="54"/>
      <c r="G35" s="54"/>
      <c r="H35" s="54"/>
      <c r="I35" s="54"/>
      <c r="J35" s="54"/>
      <c r="K35" s="54"/>
      <c r="L35" s="54"/>
      <c r="M35" s="55"/>
      <c r="N35" s="144">
        <v>45809.0</v>
      </c>
      <c r="O35" s="59"/>
      <c r="P35" s="41"/>
      <c r="Q35" s="41"/>
      <c r="R35" s="41"/>
      <c r="S35" s="41"/>
      <c r="T35" s="41"/>
      <c r="U35" s="41"/>
      <c r="V35" s="41"/>
      <c r="W35" s="41"/>
      <c r="X35" s="41"/>
      <c r="Y35" s="41"/>
      <c r="Z35" s="41"/>
    </row>
    <row r="36" ht="15.0" customHeight="1">
      <c r="A36" s="143" t="s">
        <v>166</v>
      </c>
      <c r="B36" s="54"/>
      <c r="C36" s="54"/>
      <c r="D36" s="54"/>
      <c r="E36" s="54"/>
      <c r="F36" s="54"/>
      <c r="G36" s="54"/>
      <c r="H36" s="54"/>
      <c r="I36" s="54"/>
      <c r="J36" s="54"/>
      <c r="K36" s="54"/>
      <c r="L36" s="54"/>
      <c r="M36" s="55"/>
      <c r="N36" s="144">
        <v>45839.0</v>
      </c>
      <c r="O36" s="59"/>
      <c r="P36" s="41"/>
      <c r="Q36" s="41"/>
      <c r="R36" s="41"/>
      <c r="S36" s="41"/>
      <c r="T36" s="41"/>
      <c r="U36" s="41"/>
      <c r="V36" s="41"/>
      <c r="W36" s="41"/>
      <c r="X36" s="41"/>
      <c r="Y36" s="41"/>
      <c r="Z36" s="41"/>
    </row>
    <row r="37" ht="15.0" customHeight="1">
      <c r="A37" s="143" t="s">
        <v>162</v>
      </c>
      <c r="B37" s="54"/>
      <c r="C37" s="54"/>
      <c r="D37" s="54"/>
      <c r="E37" s="54"/>
      <c r="F37" s="54"/>
      <c r="G37" s="54"/>
      <c r="H37" s="54"/>
      <c r="I37" s="54"/>
      <c r="J37" s="54"/>
      <c r="K37" s="54"/>
      <c r="L37" s="54"/>
      <c r="M37" s="55"/>
      <c r="N37" s="144">
        <v>45870.0</v>
      </c>
      <c r="O37" s="59"/>
      <c r="P37" s="41"/>
      <c r="Q37" s="41"/>
      <c r="R37" s="41"/>
      <c r="S37" s="41"/>
      <c r="T37" s="41"/>
      <c r="U37" s="41"/>
      <c r="V37" s="41"/>
      <c r="W37" s="41"/>
      <c r="X37" s="41"/>
      <c r="Y37" s="41"/>
      <c r="Z37" s="41"/>
    </row>
    <row r="38" ht="15.0" customHeight="1">
      <c r="A38" s="143" t="s">
        <v>166</v>
      </c>
      <c r="B38" s="54"/>
      <c r="C38" s="54"/>
      <c r="D38" s="54"/>
      <c r="E38" s="54"/>
      <c r="F38" s="54"/>
      <c r="G38" s="54"/>
      <c r="H38" s="54"/>
      <c r="I38" s="54"/>
      <c r="J38" s="54"/>
      <c r="K38" s="54"/>
      <c r="L38" s="54"/>
      <c r="M38" s="55"/>
      <c r="N38" s="144">
        <v>45901.0</v>
      </c>
      <c r="O38" s="59"/>
      <c r="P38" s="41"/>
      <c r="Q38" s="41"/>
      <c r="R38" s="41"/>
      <c r="S38" s="41"/>
      <c r="T38" s="41"/>
      <c r="U38" s="41"/>
      <c r="V38" s="41"/>
      <c r="W38" s="41"/>
      <c r="X38" s="41"/>
      <c r="Y38" s="41"/>
      <c r="Z38" s="41"/>
    </row>
    <row r="39" ht="15.0" customHeight="1">
      <c r="A39" s="143" t="s">
        <v>181</v>
      </c>
      <c r="B39" s="54"/>
      <c r="C39" s="54"/>
      <c r="D39" s="54"/>
      <c r="E39" s="54"/>
      <c r="F39" s="54"/>
      <c r="G39" s="54"/>
      <c r="H39" s="54"/>
      <c r="I39" s="54"/>
      <c r="J39" s="54"/>
      <c r="K39" s="54"/>
      <c r="L39" s="54"/>
      <c r="M39" s="55"/>
      <c r="N39" s="144">
        <v>45931.0</v>
      </c>
      <c r="O39" s="59"/>
      <c r="P39" s="41"/>
      <c r="Q39" s="41"/>
      <c r="R39" s="41"/>
      <c r="S39" s="41"/>
      <c r="T39" s="41"/>
      <c r="U39" s="41"/>
      <c r="V39" s="41"/>
      <c r="W39" s="41"/>
      <c r="X39" s="41"/>
      <c r="Y39" s="41"/>
      <c r="Z39" s="41"/>
    </row>
    <row r="40" ht="15.0" customHeight="1">
      <c r="A40" s="143" t="s">
        <v>166</v>
      </c>
      <c r="B40" s="54"/>
      <c r="C40" s="54"/>
      <c r="D40" s="54"/>
      <c r="E40" s="54"/>
      <c r="F40" s="54"/>
      <c r="G40" s="54"/>
      <c r="H40" s="54"/>
      <c r="I40" s="54"/>
      <c r="J40" s="54"/>
      <c r="K40" s="54"/>
      <c r="L40" s="54"/>
      <c r="M40" s="55"/>
      <c r="N40" s="144">
        <v>45962.0</v>
      </c>
      <c r="O40" s="59"/>
      <c r="P40" s="41"/>
      <c r="Q40" s="41"/>
      <c r="R40" s="41"/>
      <c r="S40" s="41"/>
      <c r="T40" s="41"/>
      <c r="U40" s="41"/>
      <c r="V40" s="41"/>
      <c r="W40" s="41"/>
      <c r="X40" s="41"/>
      <c r="Y40" s="41"/>
      <c r="Z40" s="41"/>
    </row>
    <row r="41" ht="15.0" customHeight="1">
      <c r="A41" s="143" t="s">
        <v>166</v>
      </c>
      <c r="B41" s="54"/>
      <c r="C41" s="54"/>
      <c r="D41" s="54"/>
      <c r="E41" s="54"/>
      <c r="F41" s="54"/>
      <c r="G41" s="54"/>
      <c r="H41" s="54"/>
      <c r="I41" s="54"/>
      <c r="J41" s="54"/>
      <c r="K41" s="54"/>
      <c r="L41" s="54"/>
      <c r="M41" s="55"/>
      <c r="N41" s="144">
        <v>45992.0</v>
      </c>
      <c r="O41" s="59"/>
      <c r="P41" s="41"/>
      <c r="Q41" s="41"/>
      <c r="R41" s="41"/>
      <c r="S41" s="41"/>
      <c r="T41" s="41"/>
      <c r="U41" s="41"/>
      <c r="V41" s="41"/>
      <c r="W41" s="41"/>
      <c r="X41" s="41"/>
      <c r="Y41" s="41"/>
      <c r="Z41" s="41"/>
    </row>
    <row r="42" ht="19.5" customHeight="1">
      <c r="A42" s="140" t="s">
        <v>214</v>
      </c>
      <c r="B42" s="49"/>
      <c r="C42" s="49"/>
      <c r="D42" s="49"/>
      <c r="E42" s="49"/>
      <c r="F42" s="49"/>
      <c r="G42" s="49"/>
      <c r="H42" s="49"/>
      <c r="I42" s="49"/>
      <c r="J42" s="49"/>
      <c r="K42" s="49"/>
      <c r="L42" s="49"/>
      <c r="M42" s="50"/>
      <c r="N42" s="142" t="s">
        <v>127</v>
      </c>
      <c r="O42" s="52"/>
      <c r="P42" s="41"/>
      <c r="Q42" s="41"/>
      <c r="R42" s="41"/>
      <c r="S42" s="41"/>
      <c r="T42" s="41"/>
      <c r="U42" s="41"/>
      <c r="V42" s="41"/>
      <c r="W42" s="41"/>
      <c r="X42" s="41"/>
      <c r="Y42" s="41"/>
      <c r="Z42" s="41"/>
    </row>
    <row r="43" ht="21.0" customHeight="1">
      <c r="A43" s="143" t="s">
        <v>216</v>
      </c>
      <c r="B43" s="54"/>
      <c r="C43" s="54"/>
      <c r="D43" s="54"/>
      <c r="E43" s="54"/>
      <c r="F43" s="54"/>
      <c r="G43" s="54"/>
      <c r="H43" s="54"/>
      <c r="I43" s="54"/>
      <c r="J43" s="54"/>
      <c r="K43" s="54"/>
      <c r="L43" s="54"/>
      <c r="M43" s="55"/>
      <c r="N43" s="146"/>
      <c r="O43" s="59"/>
      <c r="P43" s="41"/>
      <c r="Q43" s="41"/>
      <c r="R43" s="41"/>
      <c r="S43" s="41"/>
      <c r="T43" s="41"/>
      <c r="U43" s="41"/>
      <c r="V43" s="41"/>
      <c r="W43" s="41"/>
      <c r="X43" s="41"/>
      <c r="Y43" s="41"/>
      <c r="Z43" s="41"/>
    </row>
    <row r="44" ht="12.75" customHeight="1">
      <c r="A44" s="155"/>
      <c r="B44" s="63"/>
      <c r="C44" s="63"/>
      <c r="D44" s="63"/>
      <c r="E44" s="63"/>
      <c r="F44" s="63"/>
      <c r="G44" s="63"/>
      <c r="H44" s="63"/>
      <c r="I44" s="63"/>
      <c r="J44" s="63"/>
      <c r="K44" s="63"/>
      <c r="L44" s="63"/>
      <c r="M44" s="64"/>
      <c r="N44" s="156"/>
      <c r="O44" s="67"/>
      <c r="P44" s="41"/>
      <c r="Q44" s="41"/>
      <c r="R44" s="41"/>
      <c r="S44" s="41"/>
      <c r="T44" s="41"/>
      <c r="U44" s="41"/>
      <c r="V44" s="41"/>
      <c r="W44" s="41"/>
      <c r="X44" s="41"/>
      <c r="Y44" s="41"/>
      <c r="Z44" s="41"/>
    </row>
    <row r="45" ht="5.25" customHeight="1">
      <c r="A45" s="148"/>
      <c r="B45" s="88"/>
      <c r="C45" s="88"/>
      <c r="D45" s="88"/>
      <c r="E45" s="88"/>
      <c r="F45" s="88"/>
      <c r="G45" s="88"/>
      <c r="H45" s="88"/>
      <c r="I45" s="88"/>
      <c r="J45" s="88"/>
      <c r="K45" s="88"/>
      <c r="L45" s="88"/>
      <c r="M45" s="88"/>
      <c r="N45" s="88"/>
      <c r="O45" s="149"/>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187</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188</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189</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190</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191</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192</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196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206</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72</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213</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215</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217</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50" t="s">
        <v>218</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9">
        <v>32.0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59">
        <v>30.0</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6:K26"/>
    <mergeCell ref="L26:O26"/>
    <mergeCell ref="A17:B17"/>
    <mergeCell ref="A18:B18"/>
    <mergeCell ref="A19:B19"/>
    <mergeCell ref="A20:A24"/>
    <mergeCell ref="A25:C26"/>
    <mergeCell ref="H25:K25"/>
    <mergeCell ref="L25:O25"/>
    <mergeCell ref="D25:G25"/>
    <mergeCell ref="D26:G26"/>
    <mergeCell ref="A27:O27"/>
    <mergeCell ref="A28:O28"/>
    <mergeCell ref="A29:M29"/>
    <mergeCell ref="N29:O29"/>
    <mergeCell ref="N30:O30"/>
    <mergeCell ref="A30:M30"/>
    <mergeCell ref="A31:M31"/>
    <mergeCell ref="N31:O31"/>
    <mergeCell ref="A32:M32"/>
    <mergeCell ref="N32:O32"/>
    <mergeCell ref="A33:M33"/>
    <mergeCell ref="N33:O33"/>
    <mergeCell ref="A34:M34"/>
    <mergeCell ref="N34:O34"/>
    <mergeCell ref="A35:M35"/>
    <mergeCell ref="N35:O35"/>
    <mergeCell ref="A36:M36"/>
    <mergeCell ref="N36:O36"/>
    <mergeCell ref="N37:O37"/>
    <mergeCell ref="A37:M37"/>
    <mergeCell ref="A38:M38"/>
    <mergeCell ref="N38:O38"/>
    <mergeCell ref="A39:M39"/>
    <mergeCell ref="N39:O39"/>
    <mergeCell ref="A40:M40"/>
    <mergeCell ref="N40:O40"/>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4:M44"/>
    <mergeCell ref="A45:O45"/>
    <mergeCell ref="A41:M41"/>
    <mergeCell ref="N41:O41"/>
    <mergeCell ref="A42:M42"/>
    <mergeCell ref="N42:O42"/>
    <mergeCell ref="A43:M43"/>
    <mergeCell ref="N43:O43"/>
    <mergeCell ref="N44:O44"/>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4" width="9.0"/>
    <col customWidth="1" min="5" max="5" width="9.43"/>
    <col customWidth="1" min="6" max="8" width="9.0"/>
    <col customWidth="1" min="9" max="9" width="9.71"/>
    <col customWidth="1" min="10" max="15" width="9.0"/>
    <col customWidth="1" min="16" max="16" width="8.71"/>
    <col customWidth="1" hidden="1" min="17" max="18" width="8.71"/>
    <col customWidth="1" min="19" max="19" width="8.71"/>
    <col customWidth="1" min="20" max="20" width="11.43"/>
    <col customWidth="1" min="21" max="21" width="9.0"/>
    <col customWidth="1" min="22" max="22" width="5.71"/>
    <col customWidth="1" min="23" max="23" width="10.43"/>
    <col customWidth="1" min="24" max="24" width="10.0"/>
    <col customWidth="1" min="25" max="26" width="10.71"/>
  </cols>
  <sheetData>
    <row r="1" ht="12.7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1.2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75" customHeight="1">
      <c r="A3" s="42"/>
      <c r="D3" s="38" t="s">
        <v>219</v>
      </c>
      <c r="E3" s="36"/>
      <c r="F3" s="36"/>
      <c r="G3" s="36"/>
      <c r="H3" s="36"/>
      <c r="I3" s="36"/>
      <c r="J3" s="36"/>
      <c r="K3" s="36"/>
      <c r="L3" s="36"/>
      <c r="M3" s="36"/>
      <c r="N3" s="36"/>
      <c r="O3" s="40"/>
      <c r="P3" s="41"/>
      <c r="Q3" s="41"/>
      <c r="R3" s="41"/>
      <c r="S3" s="41"/>
      <c r="T3" s="41"/>
      <c r="U3" s="41"/>
      <c r="V3" s="41"/>
      <c r="W3" s="41"/>
      <c r="X3" s="41"/>
      <c r="Y3" s="41"/>
      <c r="Z3" s="41"/>
    </row>
    <row r="4" ht="12.0"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Sta.Mría'!$B11</f>
        <v>Ejecución de inversiones</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Sta.Mría'!F11</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Sta.Mría'!A11</f>
        <v>IN04</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38.25" customHeight="1">
      <c r="A11" s="80" t="str">
        <f>'SET SP Sta.Mría'!$C11</f>
        <v>Realizar el seguimiento a la ejecución de la inversión establecida para la vigencia fiscal respectiva.</v>
      </c>
      <c r="B11" s="63"/>
      <c r="C11" s="63"/>
      <c r="D11" s="64"/>
      <c r="E11" s="81" t="s">
        <v>70</v>
      </c>
      <c r="F11" s="82" t="str">
        <f>'SET SP Sta.Mría'!$D11</f>
        <v>(Inversión realizada / Inversión presupuestada) x 100% </v>
      </c>
      <c r="G11" s="64"/>
      <c r="H11" s="160">
        <f>$O18</f>
        <v>1</v>
      </c>
      <c r="I11" s="84" t="str">
        <f>'SET SP Sta.Mría'!$E11</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91" t="s">
        <v>78</v>
      </c>
      <c r="B14" s="88"/>
      <c r="C14" s="88"/>
      <c r="D14" s="88"/>
      <c r="E14" s="88"/>
      <c r="F14" s="88"/>
      <c r="G14" s="88"/>
      <c r="H14" s="88"/>
      <c r="I14" s="88"/>
      <c r="J14" s="88"/>
      <c r="K14" s="88"/>
      <c r="L14" s="88"/>
      <c r="M14" s="88"/>
      <c r="N14" s="88"/>
      <c r="O14" s="89"/>
      <c r="P14" s="41"/>
      <c r="Q14" s="41"/>
      <c r="R14" s="41"/>
      <c r="S14" s="41"/>
      <c r="T14" s="41"/>
      <c r="U14" s="41"/>
      <c r="V14" s="92"/>
      <c r="W14" s="93"/>
      <c r="X14" s="93"/>
      <c r="Y14" s="41"/>
      <c r="Z14" s="41"/>
    </row>
    <row r="15" ht="16.5" customHeight="1">
      <c r="A15" s="94" t="str">
        <f>+'03'!A15:O15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1">
        <f t="shared" ref="C17:N17" si="1">$O$17</f>
        <v>0.14</v>
      </c>
      <c r="D17" s="101">
        <f t="shared" si="1"/>
        <v>0.14</v>
      </c>
      <c r="E17" s="101">
        <f t="shared" si="1"/>
        <v>0.14</v>
      </c>
      <c r="F17" s="101">
        <f t="shared" si="1"/>
        <v>0.14</v>
      </c>
      <c r="G17" s="101">
        <f t="shared" si="1"/>
        <v>0.14</v>
      </c>
      <c r="H17" s="101">
        <f t="shared" si="1"/>
        <v>0.14</v>
      </c>
      <c r="I17" s="101">
        <f t="shared" si="1"/>
        <v>0.14</v>
      </c>
      <c r="J17" s="101">
        <f t="shared" si="1"/>
        <v>0.14</v>
      </c>
      <c r="K17" s="101">
        <f t="shared" si="1"/>
        <v>0.14</v>
      </c>
      <c r="L17" s="101">
        <f t="shared" si="1"/>
        <v>0.14</v>
      </c>
      <c r="M17" s="101">
        <f t="shared" si="1"/>
        <v>0.14</v>
      </c>
      <c r="N17" s="101">
        <f t="shared" si="1"/>
        <v>0.14</v>
      </c>
      <c r="O17" s="161">
        <f>'SET SP Sta.Mría'!J11</f>
        <v>0.14</v>
      </c>
      <c r="P17" s="41"/>
      <c r="Q17" s="41"/>
      <c r="R17" s="41"/>
      <c r="S17" s="41"/>
      <c r="T17" s="41"/>
      <c r="U17" s="41"/>
      <c r="V17" s="92"/>
      <c r="W17" s="95"/>
      <c r="X17" s="95"/>
      <c r="Y17" s="41"/>
      <c r="Z17" s="41"/>
    </row>
    <row r="18" ht="17.25" customHeight="1">
      <c r="A18" s="99" t="str">
        <f>+'03'!A18:B18</f>
        <v>META  AÑO 2025</v>
      </c>
      <c r="B18" s="55"/>
      <c r="C18" s="101">
        <f t="shared" ref="C18:N18" si="2">$O$18</f>
        <v>1</v>
      </c>
      <c r="D18" s="101">
        <f t="shared" si="2"/>
        <v>1</v>
      </c>
      <c r="E18" s="101">
        <f t="shared" si="2"/>
        <v>1</v>
      </c>
      <c r="F18" s="101">
        <f t="shared" si="2"/>
        <v>1</v>
      </c>
      <c r="G18" s="101">
        <f t="shared" si="2"/>
        <v>1</v>
      </c>
      <c r="H18" s="101">
        <f t="shared" si="2"/>
        <v>1</v>
      </c>
      <c r="I18" s="101">
        <f t="shared" si="2"/>
        <v>1</v>
      </c>
      <c r="J18" s="101">
        <f t="shared" si="2"/>
        <v>1</v>
      </c>
      <c r="K18" s="101">
        <f t="shared" si="2"/>
        <v>1</v>
      </c>
      <c r="L18" s="101">
        <f t="shared" si="2"/>
        <v>1</v>
      </c>
      <c r="M18" s="101">
        <f t="shared" si="2"/>
        <v>1</v>
      </c>
      <c r="N18" s="101">
        <f t="shared" si="2"/>
        <v>1</v>
      </c>
      <c r="O18" s="161">
        <f>'SET SP Sta.Mría'!K11</f>
        <v>1</v>
      </c>
      <c r="P18" s="41"/>
      <c r="Q18" s="41"/>
      <c r="R18" s="41"/>
      <c r="S18" s="41"/>
      <c r="T18" s="41"/>
      <c r="U18" s="41"/>
      <c r="V18" s="92"/>
      <c r="W18" s="95"/>
      <c r="X18" s="95"/>
      <c r="Y18" s="41"/>
      <c r="Z18" s="41"/>
    </row>
    <row r="19" ht="17.25" customHeight="1">
      <c r="A19" s="106" t="s">
        <v>91</v>
      </c>
      <c r="B19" s="55"/>
      <c r="C19" s="107" t="str">
        <f t="shared" ref="C19:O19" si="3">IF((C22),C21/C22,"-")</f>
        <v>-</v>
      </c>
      <c r="D19" s="107" t="str">
        <f t="shared" si="3"/>
        <v>-</v>
      </c>
      <c r="E19" s="107" t="str">
        <f t="shared" si="3"/>
        <v>-</v>
      </c>
      <c r="F19" s="107" t="str">
        <f t="shared" si="3"/>
        <v>-</v>
      </c>
      <c r="G19" s="107" t="str">
        <f t="shared" si="3"/>
        <v>-</v>
      </c>
      <c r="H19" s="107" t="str">
        <f t="shared" si="3"/>
        <v>-</v>
      </c>
      <c r="I19" s="107" t="str">
        <f t="shared" si="3"/>
        <v>-</v>
      </c>
      <c r="J19" s="107" t="str">
        <f t="shared" si="3"/>
        <v>-</v>
      </c>
      <c r="K19" s="107" t="str">
        <f t="shared" si="3"/>
        <v>-</v>
      </c>
      <c r="L19" s="107" t="str">
        <f t="shared" si="3"/>
        <v>-</v>
      </c>
      <c r="M19" s="107" t="str">
        <f t="shared" si="3"/>
        <v>-</v>
      </c>
      <c r="N19" s="107" t="str">
        <f t="shared" si="3"/>
        <v>-</v>
      </c>
      <c r="O19" s="109" t="str">
        <f t="shared" si="3"/>
        <v>-</v>
      </c>
      <c r="P19" s="41"/>
      <c r="Q19" s="41"/>
      <c r="R19" s="41"/>
      <c r="S19" s="41"/>
      <c r="T19" s="41"/>
      <c r="U19" s="41"/>
      <c r="V19" s="92"/>
      <c r="W19" s="95"/>
      <c r="X19" s="95"/>
      <c r="Y19" s="41"/>
      <c r="Z19" s="41"/>
    </row>
    <row r="20" ht="17.25" customHeight="1">
      <c r="A20" s="110" t="s">
        <v>92</v>
      </c>
      <c r="B20" s="111" t="s">
        <v>220</v>
      </c>
      <c r="C20" s="112">
        <v>1600000.0</v>
      </c>
      <c r="D20" s="112">
        <v>0.0</v>
      </c>
      <c r="E20" s="112">
        <v>0.0</v>
      </c>
      <c r="F20" s="112">
        <v>0.0</v>
      </c>
      <c r="G20" s="112">
        <v>0.0</v>
      </c>
      <c r="H20" s="112">
        <v>0.0</v>
      </c>
      <c r="I20" s="112">
        <v>0.0</v>
      </c>
      <c r="J20" s="112">
        <v>0.0</v>
      </c>
      <c r="K20" s="112">
        <v>0.0</v>
      </c>
      <c r="L20" s="112">
        <v>0.0</v>
      </c>
      <c r="M20" s="112">
        <v>0.0</v>
      </c>
      <c r="N20" s="112">
        <v>0.0</v>
      </c>
      <c r="O20" s="113">
        <f>SUM(C20:N20)</f>
        <v>1600000</v>
      </c>
      <c r="P20" s="41"/>
      <c r="Q20" s="41"/>
      <c r="R20" s="41"/>
      <c r="S20" s="41"/>
      <c r="T20" s="41"/>
      <c r="U20" s="41"/>
      <c r="V20" s="92"/>
      <c r="W20" s="95"/>
      <c r="X20" s="95"/>
      <c r="Y20" s="41"/>
      <c r="Z20" s="41"/>
    </row>
    <row r="21" ht="17.25" customHeight="1">
      <c r="A21" s="115"/>
      <c r="B21" s="111" t="s">
        <v>221</v>
      </c>
      <c r="C21" s="112">
        <f>C20</f>
        <v>1600000</v>
      </c>
      <c r="D21" s="112">
        <f t="shared" ref="D21:N21" si="4">C21+D20</f>
        <v>1600000</v>
      </c>
      <c r="E21" s="112">
        <f t="shared" si="4"/>
        <v>1600000</v>
      </c>
      <c r="F21" s="112">
        <f t="shared" si="4"/>
        <v>1600000</v>
      </c>
      <c r="G21" s="112">
        <f t="shared" si="4"/>
        <v>1600000</v>
      </c>
      <c r="H21" s="112">
        <f t="shared" si="4"/>
        <v>1600000</v>
      </c>
      <c r="I21" s="112">
        <f t="shared" si="4"/>
        <v>1600000</v>
      </c>
      <c r="J21" s="112">
        <f t="shared" si="4"/>
        <v>1600000</v>
      </c>
      <c r="K21" s="112">
        <f t="shared" si="4"/>
        <v>1600000</v>
      </c>
      <c r="L21" s="112">
        <f t="shared" si="4"/>
        <v>1600000</v>
      </c>
      <c r="M21" s="112">
        <f t="shared" si="4"/>
        <v>1600000</v>
      </c>
      <c r="N21" s="112">
        <f t="shared" si="4"/>
        <v>1600000</v>
      </c>
      <c r="O21" s="113">
        <f t="shared" ref="O21:O22" si="6">MAX(C21:N21)</f>
        <v>1600000</v>
      </c>
      <c r="P21" s="41"/>
      <c r="Q21" s="41"/>
      <c r="R21" s="41"/>
      <c r="S21" s="41"/>
      <c r="T21" s="41"/>
      <c r="U21" s="41"/>
      <c r="V21" s="92"/>
      <c r="W21" s="95"/>
      <c r="X21" s="95"/>
      <c r="Y21" s="41"/>
      <c r="Z21" s="41"/>
    </row>
    <row r="22" ht="13.5" customHeight="1">
      <c r="A22" s="115"/>
      <c r="B22" s="111" t="s">
        <v>222</v>
      </c>
      <c r="C22" s="112"/>
      <c r="D22" s="112" t="str">
        <f t="shared" ref="D22:N22" si="5">+C22</f>
        <v/>
      </c>
      <c r="E22" s="112" t="str">
        <f t="shared" si="5"/>
        <v/>
      </c>
      <c r="F22" s="112" t="str">
        <f t="shared" si="5"/>
        <v/>
      </c>
      <c r="G22" s="112" t="str">
        <f t="shared" si="5"/>
        <v/>
      </c>
      <c r="H22" s="112" t="str">
        <f t="shared" si="5"/>
        <v/>
      </c>
      <c r="I22" s="112" t="str">
        <f t="shared" si="5"/>
        <v/>
      </c>
      <c r="J22" s="112" t="str">
        <f t="shared" si="5"/>
        <v/>
      </c>
      <c r="K22" s="112" t="str">
        <f t="shared" si="5"/>
        <v/>
      </c>
      <c r="L22" s="112" t="str">
        <f t="shared" si="5"/>
        <v/>
      </c>
      <c r="M22" s="112" t="str">
        <f t="shared" si="5"/>
        <v/>
      </c>
      <c r="N22" s="112" t="str">
        <f t="shared" si="5"/>
        <v/>
      </c>
      <c r="O22" s="113">
        <f t="shared" si="6"/>
        <v>0</v>
      </c>
      <c r="P22" s="41"/>
      <c r="Q22" s="41"/>
      <c r="R22" s="41"/>
      <c r="S22" s="41"/>
      <c r="T22" s="41"/>
      <c r="U22" s="41"/>
      <c r="V22" s="92"/>
      <c r="W22" s="95"/>
      <c r="X22" s="95"/>
      <c r="Y22" s="41"/>
      <c r="Z22" s="41"/>
    </row>
    <row r="23" ht="17.25" customHeight="1">
      <c r="A23" s="115"/>
      <c r="B23" s="117"/>
      <c r="C23" s="118"/>
      <c r="D23" s="118"/>
      <c r="E23" s="118"/>
      <c r="F23" s="118"/>
      <c r="G23" s="118"/>
      <c r="H23" s="118"/>
      <c r="I23" s="118"/>
      <c r="J23" s="118"/>
      <c r="K23" s="118"/>
      <c r="L23" s="118"/>
      <c r="M23" s="118"/>
      <c r="N23" s="118"/>
      <c r="O23" s="119"/>
      <c r="P23" s="41"/>
      <c r="Q23" s="41"/>
      <c r="R23" s="41"/>
      <c r="S23" s="41"/>
      <c r="T23" s="41"/>
      <c r="U23" s="41"/>
      <c r="V23" s="92"/>
      <c r="W23" s="95"/>
      <c r="X23" s="95"/>
      <c r="Y23" s="41"/>
      <c r="Z23" s="41"/>
    </row>
    <row r="24" ht="18.0" customHeight="1">
      <c r="A24" s="120"/>
      <c r="B24" s="123" t="s">
        <v>107</v>
      </c>
      <c r="C24" s="122"/>
      <c r="D24" s="122"/>
      <c r="E24" s="122"/>
      <c r="F24" s="122"/>
      <c r="G24" s="122"/>
      <c r="H24" s="122"/>
      <c r="I24" s="122"/>
      <c r="J24" s="122"/>
      <c r="K24" s="122"/>
      <c r="L24" s="122"/>
      <c r="M24" s="122"/>
      <c r="N24" s="122"/>
      <c r="O24" s="124"/>
      <c r="P24" s="41"/>
      <c r="Q24" s="41"/>
      <c r="R24" s="41"/>
      <c r="S24" s="41"/>
      <c r="T24" s="41"/>
      <c r="U24" s="41"/>
      <c r="V24" s="92"/>
      <c r="W24" s="95"/>
      <c r="X24" s="95"/>
      <c r="Y24" s="41"/>
      <c r="Z24" s="41"/>
    </row>
    <row r="25" ht="14.25" customHeight="1">
      <c r="A25" s="125" t="s">
        <v>113</v>
      </c>
      <c r="B25" s="36"/>
      <c r="C25" s="69"/>
      <c r="D25" s="126" t="str">
        <f>'SET SP Sta.Mría'!$G11</f>
        <v>Entre 80% y 100%</v>
      </c>
      <c r="E25" s="127"/>
      <c r="F25" s="127"/>
      <c r="G25" s="128"/>
      <c r="H25" s="126" t="str">
        <f>'SET SP Sta.Mría'!$H11</f>
        <v>Entre 60% y 79%</v>
      </c>
      <c r="I25" s="127"/>
      <c r="J25" s="127"/>
      <c r="K25" s="128"/>
      <c r="L25" s="126" t="str">
        <f>'SET SP Sta.Mría'!$I11</f>
        <v>Menor al 59%</v>
      </c>
      <c r="M25" s="127"/>
      <c r="N25" s="127"/>
      <c r="O25" s="128"/>
      <c r="P25" s="41"/>
      <c r="Q25" s="41"/>
      <c r="R25" s="41"/>
      <c r="S25" s="41"/>
      <c r="T25" s="41"/>
      <c r="U25" s="41"/>
      <c r="V25" s="92"/>
      <c r="W25" s="95"/>
      <c r="X25" s="95"/>
      <c r="Y25" s="41"/>
      <c r="Z25" s="41"/>
    </row>
    <row r="26" ht="33.0" customHeight="1">
      <c r="A26" s="46"/>
      <c r="B26" s="44"/>
      <c r="C26" s="130"/>
      <c r="D26" s="131" t="s">
        <v>15</v>
      </c>
      <c r="E26" s="132"/>
      <c r="F26" s="132"/>
      <c r="G26" s="133"/>
      <c r="H26" s="134" t="s">
        <v>16</v>
      </c>
      <c r="I26" s="132"/>
      <c r="J26" s="132"/>
      <c r="K26" s="133"/>
      <c r="L26" s="135" t="s">
        <v>17</v>
      </c>
      <c r="M26" s="132"/>
      <c r="N26" s="132"/>
      <c r="O26" s="136"/>
      <c r="P26" s="41"/>
      <c r="Q26" s="41"/>
      <c r="R26" s="41"/>
      <c r="S26" s="41"/>
      <c r="T26" s="41"/>
      <c r="U26" s="41"/>
      <c r="V26" s="92"/>
      <c r="W26" s="95"/>
      <c r="X26" s="95"/>
      <c r="Y26" s="41"/>
      <c r="Z26" s="41"/>
    </row>
    <row r="27" ht="15.75" customHeight="1">
      <c r="A27" s="137" t="s">
        <v>117</v>
      </c>
      <c r="B27" s="132"/>
      <c r="C27" s="132"/>
      <c r="D27" s="132"/>
      <c r="E27" s="132"/>
      <c r="F27" s="132"/>
      <c r="G27" s="132"/>
      <c r="H27" s="132"/>
      <c r="I27" s="132"/>
      <c r="J27" s="132"/>
      <c r="K27" s="132"/>
      <c r="L27" s="132"/>
      <c r="M27" s="132"/>
      <c r="N27" s="132"/>
      <c r="O27" s="136"/>
      <c r="P27" s="41"/>
      <c r="Q27" s="41"/>
      <c r="R27" s="41"/>
      <c r="S27" s="41"/>
      <c r="T27" s="41"/>
      <c r="U27" s="41"/>
      <c r="V27" s="92"/>
      <c r="W27" s="95"/>
      <c r="X27" s="95"/>
      <c r="Y27" s="41"/>
      <c r="Z27" s="41"/>
    </row>
    <row r="28" ht="264.75" customHeight="1">
      <c r="A28" s="138"/>
      <c r="B28" s="127"/>
      <c r="C28" s="127"/>
      <c r="D28" s="127"/>
      <c r="E28" s="127"/>
      <c r="F28" s="127"/>
      <c r="G28" s="127"/>
      <c r="H28" s="127"/>
      <c r="I28" s="127"/>
      <c r="J28" s="127"/>
      <c r="K28" s="127"/>
      <c r="L28" s="127"/>
      <c r="M28" s="127"/>
      <c r="N28" s="127"/>
      <c r="O28" s="128"/>
      <c r="P28" s="41"/>
      <c r="Q28" s="41"/>
      <c r="R28" s="41"/>
      <c r="S28" s="41"/>
      <c r="T28" s="41"/>
      <c r="U28" s="41"/>
      <c r="V28" s="92"/>
      <c r="W28" s="41"/>
      <c r="X28" s="41"/>
      <c r="Y28" s="41"/>
      <c r="Z28" s="41"/>
    </row>
    <row r="29" ht="15.0" customHeight="1">
      <c r="A29" s="140" t="s">
        <v>223</v>
      </c>
      <c r="B29" s="49"/>
      <c r="C29" s="49"/>
      <c r="D29" s="49"/>
      <c r="E29" s="49"/>
      <c r="F29" s="49"/>
      <c r="G29" s="49"/>
      <c r="H29" s="49"/>
      <c r="I29" s="49"/>
      <c r="J29" s="49"/>
      <c r="K29" s="49"/>
      <c r="L29" s="49"/>
      <c r="M29" s="50"/>
      <c r="N29" s="142" t="s">
        <v>127</v>
      </c>
      <c r="O29" s="52"/>
      <c r="P29" s="41"/>
      <c r="Q29" s="41"/>
      <c r="R29" s="41"/>
      <c r="S29" s="41"/>
      <c r="T29" s="41"/>
      <c r="U29" s="41"/>
      <c r="V29" s="41"/>
      <c r="W29" s="41"/>
      <c r="X29" s="41"/>
      <c r="Y29" s="41"/>
      <c r="Z29" s="41"/>
    </row>
    <row r="30" ht="15.0" customHeight="1">
      <c r="A30" s="143" t="s">
        <v>224</v>
      </c>
      <c r="B30" s="54"/>
      <c r="C30" s="54"/>
      <c r="D30" s="54"/>
      <c r="E30" s="54"/>
      <c r="F30" s="54"/>
      <c r="G30" s="54"/>
      <c r="H30" s="54"/>
      <c r="I30" s="54"/>
      <c r="J30" s="54"/>
      <c r="K30" s="54"/>
      <c r="L30" s="54"/>
      <c r="M30" s="55"/>
      <c r="N30" s="144">
        <v>45658.0</v>
      </c>
      <c r="O30" s="59"/>
      <c r="P30" s="41"/>
      <c r="Q30" s="41"/>
      <c r="R30" s="41"/>
      <c r="S30" s="41"/>
      <c r="T30" s="41"/>
      <c r="U30" s="41"/>
      <c r="V30" s="41"/>
      <c r="W30" s="41"/>
      <c r="X30" s="41"/>
      <c r="Y30" s="41"/>
      <c r="Z30" s="41"/>
    </row>
    <row r="31" ht="15.0" customHeight="1">
      <c r="A31" s="143" t="s">
        <v>224</v>
      </c>
      <c r="B31" s="54"/>
      <c r="C31" s="54"/>
      <c r="D31" s="54"/>
      <c r="E31" s="54"/>
      <c r="F31" s="54"/>
      <c r="G31" s="54"/>
      <c r="H31" s="54"/>
      <c r="I31" s="54"/>
      <c r="J31" s="54"/>
      <c r="K31" s="54"/>
      <c r="L31" s="54"/>
      <c r="M31" s="55"/>
      <c r="N31" s="144">
        <v>45689.0</v>
      </c>
      <c r="O31" s="59"/>
      <c r="P31" s="41"/>
      <c r="Q31" s="41"/>
      <c r="R31" s="41"/>
      <c r="S31" s="41"/>
      <c r="T31" s="41"/>
      <c r="U31" s="41"/>
      <c r="V31" s="41"/>
      <c r="W31" s="41"/>
      <c r="X31" s="41"/>
      <c r="Y31" s="41"/>
      <c r="Z31" s="41"/>
    </row>
    <row r="32" ht="15.0" customHeight="1">
      <c r="A32" s="143" t="s">
        <v>224</v>
      </c>
      <c r="B32" s="54"/>
      <c r="C32" s="54"/>
      <c r="D32" s="54"/>
      <c r="E32" s="54"/>
      <c r="F32" s="54"/>
      <c r="G32" s="54"/>
      <c r="H32" s="54"/>
      <c r="I32" s="54"/>
      <c r="J32" s="54"/>
      <c r="K32" s="54"/>
      <c r="L32" s="54"/>
      <c r="M32" s="55"/>
      <c r="N32" s="144">
        <v>45717.0</v>
      </c>
      <c r="O32" s="59"/>
      <c r="P32" s="41"/>
      <c r="Q32" s="41"/>
      <c r="R32" s="41"/>
      <c r="S32" s="41"/>
      <c r="T32" s="41"/>
      <c r="U32" s="41"/>
      <c r="V32" s="41"/>
      <c r="W32" s="41"/>
      <c r="X32" s="41"/>
      <c r="Y32" s="41"/>
      <c r="Z32" s="41"/>
    </row>
    <row r="33" ht="15.0" customHeight="1">
      <c r="A33" s="143" t="s">
        <v>224</v>
      </c>
      <c r="B33" s="54"/>
      <c r="C33" s="54"/>
      <c r="D33" s="54"/>
      <c r="E33" s="54"/>
      <c r="F33" s="54"/>
      <c r="G33" s="54"/>
      <c r="H33" s="54"/>
      <c r="I33" s="54"/>
      <c r="J33" s="54"/>
      <c r="K33" s="54"/>
      <c r="L33" s="54"/>
      <c r="M33" s="55"/>
      <c r="N33" s="144">
        <v>45748.0</v>
      </c>
      <c r="O33" s="59"/>
      <c r="P33" s="41"/>
      <c r="Q33" s="41"/>
      <c r="R33" s="41"/>
      <c r="S33" s="41"/>
      <c r="T33" s="41"/>
      <c r="U33" s="41"/>
      <c r="V33" s="41"/>
      <c r="W33" s="41"/>
      <c r="X33" s="41"/>
      <c r="Y33" s="41"/>
      <c r="Z33" s="41"/>
    </row>
    <row r="34" ht="15.0" customHeight="1">
      <c r="A34" s="143" t="s">
        <v>224</v>
      </c>
      <c r="B34" s="54"/>
      <c r="C34" s="54"/>
      <c r="D34" s="54"/>
      <c r="E34" s="54"/>
      <c r="F34" s="54"/>
      <c r="G34" s="54"/>
      <c r="H34" s="54"/>
      <c r="I34" s="54"/>
      <c r="J34" s="54"/>
      <c r="K34" s="54"/>
      <c r="L34" s="54"/>
      <c r="M34" s="55"/>
      <c r="N34" s="144">
        <v>45778.0</v>
      </c>
      <c r="O34" s="59"/>
      <c r="P34" s="41"/>
      <c r="Q34" s="41"/>
      <c r="R34" s="41"/>
      <c r="S34" s="41"/>
      <c r="T34" s="41"/>
      <c r="U34" s="41"/>
      <c r="V34" s="41"/>
      <c r="W34" s="41"/>
      <c r="X34" s="41"/>
      <c r="Y34" s="41"/>
      <c r="Z34" s="41"/>
    </row>
    <row r="35" ht="15.0" customHeight="1">
      <c r="A35" s="143" t="s">
        <v>224</v>
      </c>
      <c r="B35" s="54"/>
      <c r="C35" s="54"/>
      <c r="D35" s="54"/>
      <c r="E35" s="54"/>
      <c r="F35" s="54"/>
      <c r="G35" s="54"/>
      <c r="H35" s="54"/>
      <c r="I35" s="54"/>
      <c r="J35" s="54"/>
      <c r="K35" s="54"/>
      <c r="L35" s="54"/>
      <c r="M35" s="55"/>
      <c r="N35" s="144">
        <v>45809.0</v>
      </c>
      <c r="O35" s="59"/>
      <c r="P35" s="41"/>
      <c r="Q35" s="41"/>
      <c r="R35" s="41"/>
      <c r="S35" s="41"/>
      <c r="T35" s="41"/>
      <c r="U35" s="41"/>
      <c r="V35" s="41"/>
      <c r="W35" s="41"/>
      <c r="X35" s="41"/>
      <c r="Y35" s="41"/>
      <c r="Z35" s="41"/>
    </row>
    <row r="36" ht="15.0" customHeight="1">
      <c r="A36" s="143" t="s">
        <v>224</v>
      </c>
      <c r="B36" s="54"/>
      <c r="C36" s="54"/>
      <c r="D36" s="54"/>
      <c r="E36" s="54"/>
      <c r="F36" s="54"/>
      <c r="G36" s="54"/>
      <c r="H36" s="54"/>
      <c r="I36" s="54"/>
      <c r="J36" s="54"/>
      <c r="K36" s="54"/>
      <c r="L36" s="54"/>
      <c r="M36" s="55"/>
      <c r="N36" s="144">
        <v>45839.0</v>
      </c>
      <c r="O36" s="59"/>
      <c r="P36" s="41"/>
      <c r="Q36" s="41"/>
      <c r="R36" s="41"/>
      <c r="S36" s="41"/>
      <c r="T36" s="41"/>
      <c r="U36" s="41"/>
      <c r="V36" s="41"/>
      <c r="W36" s="41"/>
      <c r="X36" s="41"/>
      <c r="Y36" s="41"/>
      <c r="Z36" s="41"/>
    </row>
    <row r="37" ht="15.0" customHeight="1">
      <c r="A37" s="143" t="s">
        <v>224</v>
      </c>
      <c r="B37" s="54"/>
      <c r="C37" s="54"/>
      <c r="D37" s="54"/>
      <c r="E37" s="54"/>
      <c r="F37" s="54"/>
      <c r="G37" s="54"/>
      <c r="H37" s="54"/>
      <c r="I37" s="54"/>
      <c r="J37" s="54"/>
      <c r="K37" s="54"/>
      <c r="L37" s="54"/>
      <c r="M37" s="55"/>
      <c r="N37" s="144">
        <v>45870.0</v>
      </c>
      <c r="O37" s="59"/>
      <c r="P37" s="41"/>
      <c r="Q37" s="41"/>
      <c r="R37" s="41"/>
      <c r="S37" s="41"/>
      <c r="T37" s="41"/>
      <c r="U37" s="41"/>
      <c r="V37" s="41"/>
      <c r="W37" s="41"/>
      <c r="X37" s="41"/>
      <c r="Y37" s="41"/>
      <c r="Z37" s="41"/>
    </row>
    <row r="38" ht="15.0" customHeight="1">
      <c r="A38" s="143" t="s">
        <v>224</v>
      </c>
      <c r="B38" s="54"/>
      <c r="C38" s="54"/>
      <c r="D38" s="54"/>
      <c r="E38" s="54"/>
      <c r="F38" s="54"/>
      <c r="G38" s="54"/>
      <c r="H38" s="54"/>
      <c r="I38" s="54"/>
      <c r="J38" s="54"/>
      <c r="K38" s="54"/>
      <c r="L38" s="54"/>
      <c r="M38" s="55"/>
      <c r="N38" s="144">
        <v>45901.0</v>
      </c>
      <c r="O38" s="59"/>
      <c r="P38" s="41"/>
      <c r="Q38" s="41"/>
      <c r="R38" s="41"/>
      <c r="S38" s="41"/>
      <c r="T38" s="41"/>
      <c r="U38" s="41"/>
      <c r="V38" s="41"/>
      <c r="W38" s="41"/>
      <c r="X38" s="41"/>
      <c r="Y38" s="41"/>
      <c r="Z38" s="41"/>
    </row>
    <row r="39" ht="15.0" customHeight="1">
      <c r="A39" s="143" t="s">
        <v>224</v>
      </c>
      <c r="B39" s="54"/>
      <c r="C39" s="54"/>
      <c r="D39" s="54"/>
      <c r="E39" s="54"/>
      <c r="F39" s="54"/>
      <c r="G39" s="54"/>
      <c r="H39" s="54"/>
      <c r="I39" s="54"/>
      <c r="J39" s="54"/>
      <c r="K39" s="54"/>
      <c r="L39" s="54"/>
      <c r="M39" s="55"/>
      <c r="N39" s="144">
        <v>45931.0</v>
      </c>
      <c r="O39" s="59"/>
      <c r="P39" s="41"/>
      <c r="Q39" s="41"/>
      <c r="R39" s="41"/>
      <c r="S39" s="41"/>
      <c r="T39" s="41"/>
      <c r="U39" s="41"/>
      <c r="V39" s="41"/>
      <c r="W39" s="41"/>
      <c r="X39" s="41"/>
      <c r="Y39" s="41"/>
      <c r="Z39" s="41"/>
    </row>
    <row r="40" ht="15.0" customHeight="1">
      <c r="A40" s="143" t="s">
        <v>224</v>
      </c>
      <c r="B40" s="54"/>
      <c r="C40" s="54"/>
      <c r="D40" s="54"/>
      <c r="E40" s="54"/>
      <c r="F40" s="54"/>
      <c r="G40" s="54"/>
      <c r="H40" s="54"/>
      <c r="I40" s="54"/>
      <c r="J40" s="54"/>
      <c r="K40" s="54"/>
      <c r="L40" s="54"/>
      <c r="M40" s="55"/>
      <c r="N40" s="144">
        <v>45962.0</v>
      </c>
      <c r="O40" s="59"/>
      <c r="P40" s="41"/>
      <c r="Q40" s="41"/>
      <c r="R40" s="41"/>
      <c r="S40" s="41"/>
      <c r="T40" s="41"/>
      <c r="U40" s="41"/>
      <c r="V40" s="41"/>
      <c r="W40" s="41"/>
      <c r="X40" s="41"/>
      <c r="Y40" s="41"/>
      <c r="Z40" s="41"/>
    </row>
    <row r="41" ht="15.0" customHeight="1">
      <c r="A41" s="143" t="s">
        <v>224</v>
      </c>
      <c r="B41" s="54"/>
      <c r="C41" s="54"/>
      <c r="D41" s="54"/>
      <c r="E41" s="54"/>
      <c r="F41" s="54"/>
      <c r="G41" s="54"/>
      <c r="H41" s="54"/>
      <c r="I41" s="54"/>
      <c r="J41" s="54"/>
      <c r="K41" s="54"/>
      <c r="L41" s="54"/>
      <c r="M41" s="55"/>
      <c r="N41" s="144">
        <v>45992.0</v>
      </c>
      <c r="O41" s="59"/>
      <c r="P41" s="41"/>
      <c r="Q41" s="41"/>
      <c r="R41" s="41"/>
      <c r="S41" s="41"/>
      <c r="T41" s="41"/>
      <c r="U41" s="41"/>
      <c r="V41" s="41"/>
      <c r="W41" s="41"/>
      <c r="X41" s="41"/>
      <c r="Y41" s="41"/>
      <c r="Z41" s="41"/>
    </row>
    <row r="42" ht="19.5" customHeight="1">
      <c r="A42" s="140" t="s">
        <v>225</v>
      </c>
      <c r="B42" s="49"/>
      <c r="C42" s="49"/>
      <c r="D42" s="49"/>
      <c r="E42" s="49"/>
      <c r="F42" s="49"/>
      <c r="G42" s="49"/>
      <c r="H42" s="49"/>
      <c r="I42" s="49"/>
      <c r="J42" s="49"/>
      <c r="K42" s="49"/>
      <c r="L42" s="49"/>
      <c r="M42" s="50"/>
      <c r="N42" s="142" t="s">
        <v>127</v>
      </c>
      <c r="O42" s="52"/>
      <c r="P42" s="41"/>
      <c r="Q42" s="41"/>
      <c r="R42" s="41"/>
      <c r="S42" s="41"/>
      <c r="T42" s="41"/>
      <c r="U42" s="41"/>
      <c r="V42" s="41"/>
      <c r="W42" s="41"/>
      <c r="X42" s="41"/>
      <c r="Y42" s="41"/>
      <c r="Z42" s="41"/>
    </row>
    <row r="43" ht="14.25" customHeight="1">
      <c r="A43" s="143" t="s">
        <v>226</v>
      </c>
      <c r="B43" s="54"/>
      <c r="C43" s="54"/>
      <c r="D43" s="54"/>
      <c r="E43" s="54"/>
      <c r="F43" s="54"/>
      <c r="G43" s="54"/>
      <c r="H43" s="54"/>
      <c r="I43" s="54"/>
      <c r="J43" s="54"/>
      <c r="K43" s="54"/>
      <c r="L43" s="54"/>
      <c r="M43" s="55"/>
      <c r="N43" s="146"/>
      <c r="O43" s="59"/>
      <c r="P43" s="41"/>
      <c r="Q43" s="41"/>
      <c r="R43" s="41"/>
      <c r="S43" s="41"/>
      <c r="T43" s="41"/>
      <c r="U43" s="41"/>
      <c r="V43" s="41"/>
      <c r="W43" s="41"/>
      <c r="X43" s="41"/>
      <c r="Y43" s="41"/>
      <c r="Z43" s="41"/>
    </row>
    <row r="44" ht="12.75" customHeight="1">
      <c r="A44" s="155"/>
      <c r="B44" s="63"/>
      <c r="C44" s="63"/>
      <c r="D44" s="63"/>
      <c r="E44" s="63"/>
      <c r="F44" s="63"/>
      <c r="G44" s="63"/>
      <c r="H44" s="63"/>
      <c r="I44" s="63"/>
      <c r="J44" s="63"/>
      <c r="K44" s="63"/>
      <c r="L44" s="63"/>
      <c r="M44" s="64"/>
      <c r="N44" s="156"/>
      <c r="O44" s="67"/>
      <c r="P44" s="41"/>
      <c r="Q44" s="41"/>
      <c r="R44" s="41"/>
      <c r="S44" s="41"/>
      <c r="T44" s="41"/>
      <c r="U44" s="41"/>
      <c r="V44" s="41"/>
      <c r="W44" s="41"/>
      <c r="X44" s="41"/>
      <c r="Y44" s="41"/>
      <c r="Z44" s="41"/>
    </row>
    <row r="45" ht="5.25" customHeight="1">
      <c r="A45" s="148"/>
      <c r="B45" s="88"/>
      <c r="C45" s="88"/>
      <c r="D45" s="88"/>
      <c r="E45" s="88"/>
      <c r="F45" s="88"/>
      <c r="G45" s="88"/>
      <c r="H45" s="88"/>
      <c r="I45" s="88"/>
      <c r="J45" s="88"/>
      <c r="K45" s="88"/>
      <c r="L45" s="88"/>
      <c r="M45" s="88"/>
      <c r="N45" s="88"/>
      <c r="O45" s="149"/>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187</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188</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189</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190</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191</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192</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196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206</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72</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213</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215</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217</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150" t="s">
        <v>218</v>
      </c>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41"/>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8">
        <v>0.92</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158">
        <v>1.0</v>
      </c>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6:K26"/>
    <mergeCell ref="L26:O26"/>
    <mergeCell ref="A17:B17"/>
    <mergeCell ref="A18:B18"/>
    <mergeCell ref="A19:B19"/>
    <mergeCell ref="A20:A24"/>
    <mergeCell ref="A25:C26"/>
    <mergeCell ref="H25:K25"/>
    <mergeCell ref="L25:O25"/>
    <mergeCell ref="D25:G25"/>
    <mergeCell ref="D26:G26"/>
    <mergeCell ref="A27:O27"/>
    <mergeCell ref="A28:O28"/>
    <mergeCell ref="A29:M29"/>
    <mergeCell ref="N29:O29"/>
    <mergeCell ref="N30:O30"/>
    <mergeCell ref="A30:M30"/>
    <mergeCell ref="A31:M31"/>
    <mergeCell ref="N31:O31"/>
    <mergeCell ref="A32:M32"/>
    <mergeCell ref="N32:O32"/>
    <mergeCell ref="A33:M33"/>
    <mergeCell ref="N33:O33"/>
    <mergeCell ref="A34:M34"/>
    <mergeCell ref="N34:O34"/>
    <mergeCell ref="A35:M35"/>
    <mergeCell ref="N35:O35"/>
    <mergeCell ref="A36:M36"/>
    <mergeCell ref="N36:O36"/>
    <mergeCell ref="N37:O37"/>
    <mergeCell ref="A37:M37"/>
    <mergeCell ref="A38:M38"/>
    <mergeCell ref="N38:O38"/>
    <mergeCell ref="A39:M39"/>
    <mergeCell ref="N39:O39"/>
    <mergeCell ref="A40:M40"/>
    <mergeCell ref="N40:O40"/>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4:M44"/>
    <mergeCell ref="A45:O45"/>
    <mergeCell ref="A41:M41"/>
    <mergeCell ref="N41:O41"/>
    <mergeCell ref="A42:M42"/>
    <mergeCell ref="N42:O42"/>
    <mergeCell ref="A43:M43"/>
    <mergeCell ref="N43:O43"/>
    <mergeCell ref="N44:O44"/>
  </mergeCells>
  <dataValidations>
    <dataValidation type="list" allowBlank="1" showErrorMessage="1" sqref="J11">
      <formula1>$Q$47:$Q$59</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0"/>
    <col customWidth="1" hidden="1" min="17" max="18" width="7.0"/>
    <col customWidth="1" min="19" max="19" width="7.0"/>
    <col customWidth="1" min="20" max="20" width="11.43"/>
    <col customWidth="1" min="21" max="21" width="9.0"/>
    <col customWidth="1" min="22" max="22" width="5.71"/>
    <col customWidth="1" min="23" max="23" width="10.43"/>
    <col customWidth="1" min="24" max="24" width="10.0"/>
    <col customWidth="1" min="25" max="26" width="10.71"/>
  </cols>
  <sheetData>
    <row r="1" ht="14.2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2.7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75" customHeight="1">
      <c r="A3" s="42"/>
      <c r="D3" s="38" t="s">
        <v>227</v>
      </c>
      <c r="E3" s="36"/>
      <c r="F3" s="36"/>
      <c r="G3" s="36"/>
      <c r="H3" s="36"/>
      <c r="I3" s="36"/>
      <c r="J3" s="36"/>
      <c r="K3" s="36"/>
      <c r="L3" s="36"/>
      <c r="M3" s="36"/>
      <c r="N3" s="36"/>
      <c r="O3" s="40"/>
      <c r="P3" s="41"/>
      <c r="Q3" s="41"/>
      <c r="R3" s="41"/>
      <c r="S3" s="41"/>
      <c r="T3" s="41"/>
      <c r="U3" s="41"/>
      <c r="V3" s="41"/>
      <c r="W3" s="41"/>
      <c r="X3" s="41"/>
      <c r="Y3" s="41"/>
      <c r="Z3" s="41"/>
    </row>
    <row r="4" ht="12.0"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Sta.Mría'!$B12</f>
        <v>Cobertura   (Acueducto)</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Sta.Mría'!F12</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Sta.Mría'!A12</f>
        <v>IN05</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57.0" customHeight="1">
      <c r="A11" s="80" t="str">
        <f>'SET SP Sta.Mría'!$C12</f>
        <v>Medir el grado de cobertura en   la prestación del servicio de acueducto administrado por Aguas del Huila. </v>
      </c>
      <c r="B11" s="63"/>
      <c r="C11" s="63"/>
      <c r="D11" s="64"/>
      <c r="E11" s="81" t="s">
        <v>70</v>
      </c>
      <c r="F11" s="82" t="str">
        <f>'SET SP Sta.Mría'!$D12</f>
        <v>(Número de Suscriptores servicio de acueducto / Número de Domicilios) x 100% </v>
      </c>
      <c r="G11" s="64"/>
      <c r="H11" s="83">
        <f>$O18</f>
        <v>1</v>
      </c>
      <c r="I11" s="84" t="str">
        <f>'SET SP Sta.Mría'!$E12</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+'04'!A15:O15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0">
        <f t="shared" ref="C17:N17" si="1">$O$17</f>
        <v>0.99</v>
      </c>
      <c r="D17" s="100">
        <f t="shared" si="1"/>
        <v>0.99</v>
      </c>
      <c r="E17" s="100">
        <f t="shared" si="1"/>
        <v>0.99</v>
      </c>
      <c r="F17" s="100">
        <f t="shared" si="1"/>
        <v>0.99</v>
      </c>
      <c r="G17" s="100">
        <f t="shared" si="1"/>
        <v>0.99</v>
      </c>
      <c r="H17" s="100">
        <f t="shared" si="1"/>
        <v>0.99</v>
      </c>
      <c r="I17" s="100">
        <f t="shared" si="1"/>
        <v>0.99</v>
      </c>
      <c r="J17" s="100">
        <f t="shared" si="1"/>
        <v>0.99</v>
      </c>
      <c r="K17" s="100">
        <f t="shared" si="1"/>
        <v>0.99</v>
      </c>
      <c r="L17" s="100">
        <f t="shared" si="1"/>
        <v>0.99</v>
      </c>
      <c r="M17" s="100">
        <f t="shared" si="1"/>
        <v>0.99</v>
      </c>
      <c r="N17" s="100">
        <f t="shared" si="1"/>
        <v>0.99</v>
      </c>
      <c r="O17" s="165">
        <f>'SET SP Sta.Mría'!J12</f>
        <v>0.99</v>
      </c>
      <c r="P17" s="41"/>
      <c r="Q17" s="41"/>
      <c r="R17" s="41"/>
      <c r="S17" s="41"/>
      <c r="T17" s="41"/>
      <c r="U17" s="41"/>
      <c r="V17" s="92"/>
      <c r="W17" s="95"/>
      <c r="X17" s="95"/>
      <c r="Y17" s="41"/>
      <c r="Z17" s="41"/>
    </row>
    <row r="18" ht="17.25" customHeight="1">
      <c r="A18" s="99" t="str">
        <f>+'04'!A18:B18</f>
        <v>META  AÑO 2025</v>
      </c>
      <c r="B18" s="55"/>
      <c r="C18" s="100">
        <f t="shared" ref="C18:N18" si="2">$O$18</f>
        <v>1</v>
      </c>
      <c r="D18" s="100">
        <f t="shared" si="2"/>
        <v>1</v>
      </c>
      <c r="E18" s="100">
        <f t="shared" si="2"/>
        <v>1</v>
      </c>
      <c r="F18" s="100">
        <f t="shared" si="2"/>
        <v>1</v>
      </c>
      <c r="G18" s="100">
        <f t="shared" si="2"/>
        <v>1</v>
      </c>
      <c r="H18" s="100">
        <f t="shared" si="2"/>
        <v>1</v>
      </c>
      <c r="I18" s="100">
        <f t="shared" si="2"/>
        <v>1</v>
      </c>
      <c r="J18" s="100">
        <f t="shared" si="2"/>
        <v>1</v>
      </c>
      <c r="K18" s="100">
        <f t="shared" si="2"/>
        <v>1</v>
      </c>
      <c r="L18" s="100">
        <f t="shared" si="2"/>
        <v>1</v>
      </c>
      <c r="M18" s="100">
        <f t="shared" si="2"/>
        <v>1</v>
      </c>
      <c r="N18" s="100">
        <f t="shared" si="2"/>
        <v>1</v>
      </c>
      <c r="O18" s="165">
        <f>'SET SP Sta.Mría'!K12</f>
        <v>1</v>
      </c>
      <c r="P18" s="41"/>
      <c r="Q18" s="41"/>
      <c r="R18" s="41"/>
      <c r="S18" s="41"/>
      <c r="T18" s="41"/>
      <c r="U18" s="41"/>
      <c r="V18" s="92"/>
      <c r="W18" s="95"/>
      <c r="X18" s="95"/>
      <c r="Y18" s="41"/>
      <c r="Z18" s="41"/>
    </row>
    <row r="19" ht="17.25" customHeight="1">
      <c r="A19" s="106" t="s">
        <v>91</v>
      </c>
      <c r="B19" s="55"/>
      <c r="C19" s="107">
        <f t="shared" ref="C19:O19" si="3">IF((C21),C20/C21,"-")</f>
        <v>0.9942622951</v>
      </c>
      <c r="D19" s="107">
        <f t="shared" si="3"/>
        <v>0.9918032787</v>
      </c>
      <c r="E19" s="107">
        <f t="shared" si="3"/>
        <v>0.9909836066</v>
      </c>
      <c r="F19" s="107">
        <f t="shared" si="3"/>
        <v>0.9904</v>
      </c>
      <c r="G19" s="107">
        <f t="shared" si="3"/>
        <v>0.9808</v>
      </c>
      <c r="H19" s="107">
        <f t="shared" si="3"/>
        <v>0.9952</v>
      </c>
      <c r="I19" s="107">
        <f t="shared" si="3"/>
        <v>1</v>
      </c>
      <c r="J19" s="107">
        <f t="shared" si="3"/>
        <v>0.9968253968</v>
      </c>
      <c r="K19" s="107">
        <f t="shared" si="3"/>
        <v>0.9968253968</v>
      </c>
      <c r="L19" s="107">
        <f t="shared" si="3"/>
        <v>1</v>
      </c>
      <c r="M19" s="107">
        <f t="shared" si="3"/>
        <v>0.996031746</v>
      </c>
      <c r="N19" s="107">
        <f t="shared" si="3"/>
        <v>0.9992132179</v>
      </c>
      <c r="O19" s="109">
        <f t="shared" si="3"/>
        <v>0.9944074567</v>
      </c>
      <c r="P19" s="41"/>
      <c r="Q19" s="41"/>
      <c r="R19" s="41"/>
      <c r="S19" s="41"/>
      <c r="T19" s="41"/>
      <c r="U19" s="41"/>
      <c r="V19" s="92"/>
      <c r="W19" s="95"/>
      <c r="X19" s="95"/>
      <c r="Y19" s="41"/>
      <c r="Z19" s="41"/>
    </row>
    <row r="20" ht="21.75" customHeight="1">
      <c r="A20" s="110" t="s">
        <v>92</v>
      </c>
      <c r="B20" s="111" t="s">
        <v>229</v>
      </c>
      <c r="C20" s="102">
        <f>+'STA MARIA2020'!D$6</f>
        <v>1213</v>
      </c>
      <c r="D20" s="102">
        <f>+'STA MARIA2020'!E$6</f>
        <v>1210</v>
      </c>
      <c r="E20" s="102">
        <f>+'STA MARIA2020'!F$6</f>
        <v>1209</v>
      </c>
      <c r="F20" s="102">
        <f>+'STA MARIA2020'!G$6</f>
        <v>1238</v>
      </c>
      <c r="G20" s="102">
        <f>+'STA MARIA2020'!H$6</f>
        <v>1226</v>
      </c>
      <c r="H20" s="102">
        <f>+'STA MARIA2020'!I$6</f>
        <v>1244</v>
      </c>
      <c r="I20" s="102">
        <f>+'STA MARIA2020'!J$6</f>
        <v>1269</v>
      </c>
      <c r="J20" s="102">
        <f>+'STA MARIA2020'!K$6</f>
        <v>1256</v>
      </c>
      <c r="K20" s="102">
        <f>+'STA MARIA2020'!L$6</f>
        <v>1256</v>
      </c>
      <c r="L20" s="102">
        <f>+'STA MARIA2020'!M$6</f>
        <v>1290</v>
      </c>
      <c r="M20" s="102">
        <f>+'STA MARIA2020'!N$6</f>
        <v>1255</v>
      </c>
      <c r="N20" s="102">
        <f>+'STA MARIA2020'!O$6</f>
        <v>1270</v>
      </c>
      <c r="O20" s="167">
        <f t="shared" ref="O20:O21" si="4">SUM(C20:N20)</f>
        <v>14936</v>
      </c>
      <c r="P20" s="41"/>
      <c r="Q20" s="41"/>
      <c r="R20" s="41"/>
      <c r="S20" s="41"/>
      <c r="T20" s="41"/>
      <c r="U20" s="41"/>
      <c r="V20" s="92"/>
      <c r="W20" s="95"/>
      <c r="X20" s="95"/>
      <c r="Y20" s="41"/>
      <c r="Z20" s="41"/>
    </row>
    <row r="21" ht="15.75" customHeight="1">
      <c r="A21" s="115"/>
      <c r="B21" s="111" t="s">
        <v>230</v>
      </c>
      <c r="C21" s="102">
        <f>+'STA MARIA2020'!D$5</f>
        <v>1220</v>
      </c>
      <c r="D21" s="102">
        <f>+'STA MARIA2020'!E$5</f>
        <v>1220</v>
      </c>
      <c r="E21" s="102">
        <f>+'STA MARIA2020'!F$5</f>
        <v>1220</v>
      </c>
      <c r="F21" s="102">
        <f>+'STA MARIA2020'!G$5</f>
        <v>1250</v>
      </c>
      <c r="G21" s="102">
        <f>+'STA MARIA2020'!H$5</f>
        <v>1250</v>
      </c>
      <c r="H21" s="102">
        <f>+'STA MARIA2020'!I$5</f>
        <v>1250</v>
      </c>
      <c r="I21" s="102">
        <f>+'STA MARIA2020'!J$5</f>
        <v>1269</v>
      </c>
      <c r="J21" s="102">
        <f>+'STA MARIA2020'!K$5</f>
        <v>1260</v>
      </c>
      <c r="K21" s="102">
        <f>+'STA MARIA2020'!L$5</f>
        <v>1260</v>
      </c>
      <c r="L21" s="102">
        <f>+'STA MARIA2020'!M$5</f>
        <v>1290</v>
      </c>
      <c r="M21" s="102">
        <f>+'STA MARIA2020'!N$5</f>
        <v>1260</v>
      </c>
      <c r="N21" s="102">
        <f>+'STA MARIA2020'!O$5</f>
        <v>1271</v>
      </c>
      <c r="O21" s="167">
        <f t="shared" si="4"/>
        <v>15020</v>
      </c>
      <c r="P21" s="41"/>
      <c r="Q21" s="41"/>
      <c r="R21" s="41"/>
      <c r="S21" s="41"/>
      <c r="T21" s="41"/>
      <c r="U21" s="41"/>
      <c r="V21" s="92"/>
      <c r="W21" s="95"/>
      <c r="X21" s="95"/>
      <c r="Y21" s="41"/>
      <c r="Z21" s="41"/>
    </row>
    <row r="22" ht="17.2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8.0"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Sta.Mría'!$G12</f>
        <v>Entre 80% y 100%</v>
      </c>
      <c r="E24" s="127"/>
      <c r="F24" s="127"/>
      <c r="G24" s="128"/>
      <c r="H24" s="126" t="str">
        <f>'SET SP Sta.Mría'!$H12</f>
        <v>Entre 60% y 79%</v>
      </c>
      <c r="I24" s="127"/>
      <c r="J24" s="127"/>
      <c r="K24" s="128"/>
      <c r="L24" s="126" t="str">
        <f>'SET SP Sta.Mría'!$I12</f>
        <v>Menor al 59%</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231</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3" t="s">
        <v>232</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3" t="s">
        <v>233</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3" t="s">
        <v>235</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3" t="s">
        <v>236</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3" t="s">
        <v>237</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3" t="s">
        <v>238</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3" t="s">
        <v>239</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3" t="s">
        <v>240</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3" t="s">
        <v>240</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3" t="s">
        <v>239</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3" t="s">
        <v>241</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3" t="s">
        <v>242</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19.5" customHeight="1">
      <c r="A41" s="140" t="s">
        <v>243</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3" t="s">
        <v>244</v>
      </c>
      <c r="B42" s="54"/>
      <c r="C42" s="54"/>
      <c r="D42" s="54"/>
      <c r="E42" s="54"/>
      <c r="F42" s="54"/>
      <c r="G42" s="54"/>
      <c r="H42" s="54"/>
      <c r="I42" s="54"/>
      <c r="J42" s="54"/>
      <c r="K42" s="54"/>
      <c r="L42" s="54"/>
      <c r="M42" s="55"/>
      <c r="N42" s="146"/>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6.0"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57">
        <v>0.92</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7">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14"/>
    <col customWidth="1" hidden="1" min="17" max="18" width="7.14"/>
    <col customWidth="1" min="19" max="19" width="7.14"/>
    <col customWidth="1" min="20" max="20" width="11.43"/>
    <col customWidth="1" min="21" max="21" width="9.0"/>
    <col customWidth="1" min="22" max="22" width="5.71"/>
    <col customWidth="1" min="23" max="23" width="10.43"/>
    <col customWidth="1" min="24" max="24" width="10.0"/>
    <col customWidth="1" min="25" max="26" width="10.71"/>
  </cols>
  <sheetData>
    <row r="1" ht="15.0"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2.0" customHeight="1">
      <c r="A2" s="42"/>
      <c r="D2" s="43" t="s">
        <v>1</v>
      </c>
      <c r="E2" s="44"/>
      <c r="F2" s="44"/>
      <c r="G2" s="44"/>
      <c r="H2" s="44"/>
      <c r="I2" s="44"/>
      <c r="J2" s="44"/>
      <c r="K2" s="44"/>
      <c r="L2" s="44"/>
      <c r="M2" s="44"/>
      <c r="N2" s="44"/>
      <c r="O2" s="45"/>
      <c r="P2" s="41"/>
      <c r="Q2" s="41"/>
      <c r="R2" s="41"/>
      <c r="S2" s="41"/>
      <c r="T2" s="41"/>
      <c r="U2" s="41"/>
      <c r="V2" s="41"/>
      <c r="W2" s="41"/>
      <c r="X2" s="41"/>
      <c r="Y2" s="41"/>
      <c r="Z2" s="41"/>
    </row>
    <row r="3" ht="16.5" customHeight="1">
      <c r="A3" s="42"/>
      <c r="D3" s="38" t="s">
        <v>228</v>
      </c>
      <c r="E3" s="36"/>
      <c r="F3" s="36"/>
      <c r="G3" s="36"/>
      <c r="H3" s="36"/>
      <c r="I3" s="36"/>
      <c r="J3" s="36"/>
      <c r="K3" s="36"/>
      <c r="L3" s="36"/>
      <c r="M3" s="36"/>
      <c r="N3" s="36"/>
      <c r="O3" s="40"/>
      <c r="P3" s="41"/>
      <c r="Q3" s="41"/>
      <c r="R3" s="41"/>
      <c r="S3" s="41"/>
      <c r="T3" s="41"/>
      <c r="U3" s="41"/>
      <c r="V3" s="41"/>
      <c r="W3" s="41"/>
      <c r="X3" s="41"/>
      <c r="Y3" s="41"/>
      <c r="Z3" s="41"/>
    </row>
    <row r="4" ht="12.0"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Sta.Mría'!$B13</f>
        <v>Cobertura   (Alcantarillado)</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Sta.Mría'!F13</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Sta.Mría'!A13</f>
        <v>IN06</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56.25" customHeight="1">
      <c r="A11" s="80" t="str">
        <f>'SET SP Sta.Mría'!$C13</f>
        <v>Medir el grado de cobertura en   la prestación del servicio de alcantarillado administrado  por Aguas del Huila. </v>
      </c>
      <c r="B11" s="63"/>
      <c r="C11" s="63"/>
      <c r="D11" s="64"/>
      <c r="E11" s="81" t="s">
        <v>70</v>
      </c>
      <c r="F11" s="82" t="str">
        <f>'SET SP Sta.Mría'!$D13</f>
        <v>(Número de Suscriptores servicio de alcantarillado  / Número de Domicilios) x 100%  </v>
      </c>
      <c r="G11" s="64"/>
      <c r="H11" s="166">
        <f>$O18</f>
        <v>1</v>
      </c>
      <c r="I11" s="84" t="str">
        <f>'SET SP Sta.Mría'!$E13</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1.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+'05'!A15:O15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0">
        <f t="shared" ref="C17:N17" si="1">$O$17</f>
        <v>0.92</v>
      </c>
      <c r="D17" s="100">
        <f t="shared" si="1"/>
        <v>0.92</v>
      </c>
      <c r="E17" s="100">
        <f t="shared" si="1"/>
        <v>0.92</v>
      </c>
      <c r="F17" s="100">
        <f t="shared" si="1"/>
        <v>0.92</v>
      </c>
      <c r="G17" s="100">
        <f t="shared" si="1"/>
        <v>0.92</v>
      </c>
      <c r="H17" s="100">
        <f t="shared" si="1"/>
        <v>0.92</v>
      </c>
      <c r="I17" s="100">
        <f t="shared" si="1"/>
        <v>0.92</v>
      </c>
      <c r="J17" s="100">
        <f t="shared" si="1"/>
        <v>0.92</v>
      </c>
      <c r="K17" s="100">
        <f t="shared" si="1"/>
        <v>0.92</v>
      </c>
      <c r="L17" s="100">
        <f t="shared" si="1"/>
        <v>0.92</v>
      </c>
      <c r="M17" s="100">
        <f t="shared" si="1"/>
        <v>0.92</v>
      </c>
      <c r="N17" s="100">
        <f t="shared" si="1"/>
        <v>0.92</v>
      </c>
      <c r="O17" s="165">
        <f>'SET SP Sta.Mría'!J13</f>
        <v>0.92</v>
      </c>
      <c r="P17" s="41"/>
      <c r="Q17" s="41"/>
      <c r="R17" s="41"/>
      <c r="S17" s="41"/>
      <c r="T17" s="41"/>
      <c r="U17" s="41"/>
      <c r="V17" s="92"/>
      <c r="W17" s="95"/>
      <c r="X17" s="95"/>
      <c r="Y17" s="41"/>
      <c r="Z17" s="41"/>
    </row>
    <row r="18" ht="17.25" customHeight="1">
      <c r="A18" s="99" t="str">
        <f>+'05'!A18:B18</f>
        <v>META  AÑO 2025</v>
      </c>
      <c r="B18" s="55"/>
      <c r="C18" s="100">
        <f t="shared" ref="C18:N18" si="2">$O$18</f>
        <v>1</v>
      </c>
      <c r="D18" s="100">
        <f t="shared" si="2"/>
        <v>1</v>
      </c>
      <c r="E18" s="100">
        <f t="shared" si="2"/>
        <v>1</v>
      </c>
      <c r="F18" s="100">
        <f t="shared" si="2"/>
        <v>1</v>
      </c>
      <c r="G18" s="100">
        <f t="shared" si="2"/>
        <v>1</v>
      </c>
      <c r="H18" s="100">
        <f t="shared" si="2"/>
        <v>1</v>
      </c>
      <c r="I18" s="100">
        <f t="shared" si="2"/>
        <v>1</v>
      </c>
      <c r="J18" s="100">
        <f t="shared" si="2"/>
        <v>1</v>
      </c>
      <c r="K18" s="100">
        <f t="shared" si="2"/>
        <v>1</v>
      </c>
      <c r="L18" s="100">
        <f t="shared" si="2"/>
        <v>1</v>
      </c>
      <c r="M18" s="100">
        <f t="shared" si="2"/>
        <v>1</v>
      </c>
      <c r="N18" s="100">
        <f t="shared" si="2"/>
        <v>1</v>
      </c>
      <c r="O18" s="165">
        <f>'SET SP Sta.Mría'!K13</f>
        <v>1</v>
      </c>
      <c r="P18" s="41"/>
      <c r="Q18" s="41"/>
      <c r="R18" s="41"/>
      <c r="S18" s="41"/>
      <c r="T18" s="41"/>
      <c r="U18" s="41"/>
      <c r="V18" s="92"/>
      <c r="W18" s="95"/>
      <c r="X18" s="95"/>
      <c r="Y18" s="41"/>
      <c r="Z18" s="41"/>
    </row>
    <row r="19" ht="17.25" customHeight="1">
      <c r="A19" s="106" t="s">
        <v>91</v>
      </c>
      <c r="B19" s="55"/>
      <c r="C19" s="107">
        <f t="shared" ref="C19:O19" si="3">IF((C21),C20/C21,"-")</f>
        <v>0.9204918033</v>
      </c>
      <c r="D19" s="107">
        <f t="shared" si="3"/>
        <v>0.9196721311</v>
      </c>
      <c r="E19" s="107">
        <f t="shared" si="3"/>
        <v>0.918852459</v>
      </c>
      <c r="F19" s="107">
        <f t="shared" si="3"/>
        <v>0.916</v>
      </c>
      <c r="G19" s="107">
        <f t="shared" si="3"/>
        <v>0.9064</v>
      </c>
      <c r="H19" s="107">
        <f t="shared" si="3"/>
        <v>8.9208</v>
      </c>
      <c r="I19" s="107">
        <f t="shared" si="3"/>
        <v>0.9243498818</v>
      </c>
      <c r="J19" s="107">
        <f t="shared" si="3"/>
        <v>0.923015873</v>
      </c>
      <c r="K19" s="107">
        <f t="shared" si="3"/>
        <v>0.9206349206</v>
      </c>
      <c r="L19" s="107">
        <f t="shared" si="3"/>
        <v>0.9209302326</v>
      </c>
      <c r="M19" s="107">
        <f t="shared" si="3"/>
        <v>0.9174603175</v>
      </c>
      <c r="N19" s="107">
        <f t="shared" si="3"/>
        <v>0.922895358</v>
      </c>
      <c r="O19" s="109">
        <f t="shared" si="3"/>
        <v>1.585086551</v>
      </c>
      <c r="P19" s="41"/>
      <c r="Q19" s="41"/>
      <c r="R19" s="41"/>
      <c r="S19" s="41"/>
      <c r="T19" s="41"/>
      <c r="U19" s="41"/>
      <c r="V19" s="92"/>
      <c r="W19" s="95"/>
      <c r="X19" s="95"/>
      <c r="Y19" s="41"/>
      <c r="Z19" s="41"/>
    </row>
    <row r="20" ht="22.5" customHeight="1">
      <c r="A20" s="110" t="s">
        <v>92</v>
      </c>
      <c r="B20" s="111" t="s">
        <v>234</v>
      </c>
      <c r="C20" s="102">
        <f>+'STA MARIA2020'!D$7</f>
        <v>1123</v>
      </c>
      <c r="D20" s="102">
        <f>+'STA MARIA2020'!E$7</f>
        <v>1122</v>
      </c>
      <c r="E20" s="102">
        <f>+'STA MARIA2020'!F$7</f>
        <v>1121</v>
      </c>
      <c r="F20" s="102">
        <f>+'STA MARIA2020'!G$7</f>
        <v>1145</v>
      </c>
      <c r="G20" s="102">
        <f>+'STA MARIA2020'!H$7</f>
        <v>1133</v>
      </c>
      <c r="H20" s="102">
        <f>+'STA MARIA2020'!I$7</f>
        <v>11151</v>
      </c>
      <c r="I20" s="102">
        <f>+'STA MARIA2020'!J$7</f>
        <v>1173</v>
      </c>
      <c r="J20" s="102">
        <f>+'STA MARIA2020'!K$7</f>
        <v>1163</v>
      </c>
      <c r="K20" s="102">
        <f>+'STA MARIA2020'!L$7</f>
        <v>1160</v>
      </c>
      <c r="L20" s="102">
        <f>+'STA MARIA2020'!M$7</f>
        <v>1188</v>
      </c>
      <c r="M20" s="102">
        <f>+'STA MARIA2020'!N$7</f>
        <v>1156</v>
      </c>
      <c r="N20" s="102">
        <f>+'STA MARIA2020'!O$7</f>
        <v>1173</v>
      </c>
      <c r="O20" s="167">
        <f t="shared" ref="O20:O21" si="4">SUM(C20:N20)</f>
        <v>23808</v>
      </c>
      <c r="P20" s="41"/>
      <c r="Q20" s="41"/>
      <c r="R20" s="41"/>
      <c r="S20" s="41"/>
      <c r="T20" s="41"/>
      <c r="U20" s="41"/>
      <c r="V20" s="92"/>
      <c r="W20" s="95"/>
      <c r="X20" s="95"/>
      <c r="Y20" s="41"/>
      <c r="Z20" s="41"/>
    </row>
    <row r="21" ht="12.75" customHeight="1">
      <c r="A21" s="115"/>
      <c r="B21" s="111" t="s">
        <v>230</v>
      </c>
      <c r="C21" s="102">
        <f>+'05'!C21</f>
        <v>1220</v>
      </c>
      <c r="D21" s="102">
        <f>+'05'!D21</f>
        <v>1220</v>
      </c>
      <c r="E21" s="102">
        <f>+'05'!E21</f>
        <v>1220</v>
      </c>
      <c r="F21" s="102">
        <f>+'05'!F21</f>
        <v>1250</v>
      </c>
      <c r="G21" s="102">
        <f>+'05'!G21</f>
        <v>1250</v>
      </c>
      <c r="H21" s="102">
        <f>+'05'!H21</f>
        <v>1250</v>
      </c>
      <c r="I21" s="102">
        <f>+'05'!I21</f>
        <v>1269</v>
      </c>
      <c r="J21" s="102">
        <f>+'05'!J21</f>
        <v>1260</v>
      </c>
      <c r="K21" s="102">
        <f>+'05'!K21</f>
        <v>1260</v>
      </c>
      <c r="L21" s="102">
        <f>+'05'!L21</f>
        <v>1290</v>
      </c>
      <c r="M21" s="102">
        <f>+'05'!M21</f>
        <v>1260</v>
      </c>
      <c r="N21" s="102">
        <f>+'05'!N21</f>
        <v>1271</v>
      </c>
      <c r="O21" s="167">
        <f t="shared" si="4"/>
        <v>15020</v>
      </c>
      <c r="P21" s="41"/>
      <c r="Q21" s="41"/>
      <c r="R21" s="41"/>
      <c r="S21" s="41"/>
      <c r="T21" s="41"/>
      <c r="U21" s="41"/>
      <c r="V21" s="92"/>
      <c r="W21" s="95"/>
      <c r="X21" s="95"/>
      <c r="Y21" s="41"/>
      <c r="Z21" s="41"/>
    </row>
    <row r="22" ht="17.25" customHeight="1">
      <c r="A22" s="115"/>
      <c r="B22" s="117"/>
      <c r="C22" s="118"/>
      <c r="D22" s="118"/>
      <c r="E22" s="118"/>
      <c r="F22" s="118"/>
      <c r="G22" s="118"/>
      <c r="H22" s="118"/>
      <c r="I22" s="118"/>
      <c r="J22" s="118"/>
      <c r="K22" s="118"/>
      <c r="L22" s="118"/>
      <c r="M22" s="118"/>
      <c r="N22" s="118"/>
      <c r="O22" s="119"/>
      <c r="P22" s="41"/>
      <c r="Q22" s="41"/>
      <c r="R22" s="41"/>
      <c r="S22" s="41"/>
      <c r="T22" s="41"/>
      <c r="U22" s="41"/>
      <c r="V22" s="92"/>
      <c r="W22" s="95"/>
      <c r="X22" s="95"/>
      <c r="Y22" s="41"/>
      <c r="Z22" s="41"/>
    </row>
    <row r="23" ht="18.0"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68" t="str">
        <f>'SET SP Sta.Mría'!$G13</f>
        <v>Entre 80% y 100%</v>
      </c>
      <c r="E24" s="127"/>
      <c r="F24" s="127"/>
      <c r="G24" s="128"/>
      <c r="H24" s="126" t="str">
        <f>'SET SP Sta.Mría'!$H13</f>
        <v>Entre 60% y 79%</v>
      </c>
      <c r="I24" s="127"/>
      <c r="J24" s="127"/>
      <c r="K24" s="128"/>
      <c r="L24" s="126" t="str">
        <f>'SET SP Sta.Mría'!$I13</f>
        <v>Menor al 59%</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245</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9.5" customHeight="1">
      <c r="A29" s="143" t="s">
        <v>246</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8.75" customHeight="1">
      <c r="A30" s="143" t="s">
        <v>246</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8.0" customHeight="1">
      <c r="A31" s="143" t="s">
        <v>247</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8.0" customHeight="1">
      <c r="A32" s="143" t="s">
        <v>248</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9.5" customHeight="1">
      <c r="A33" s="143" t="s">
        <v>249</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7.25" customHeight="1">
      <c r="A34" s="143" t="s">
        <v>250</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3" t="s">
        <v>251</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3" t="s">
        <v>252</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3" t="s">
        <v>253</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3" t="s">
        <v>253</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3" t="s">
        <v>254</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3" t="s">
        <v>252</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25.5" customHeight="1">
      <c r="A41" s="140" t="s">
        <v>255</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3" t="s">
        <v>256</v>
      </c>
      <c r="B42" s="54"/>
      <c r="C42" s="54"/>
      <c r="D42" s="54"/>
      <c r="E42" s="54"/>
      <c r="F42" s="54"/>
      <c r="G42" s="54"/>
      <c r="H42" s="54"/>
      <c r="I42" s="54"/>
      <c r="J42" s="54"/>
      <c r="K42" s="54"/>
      <c r="L42" s="54"/>
      <c r="M42" s="55"/>
      <c r="N42" s="146"/>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6.0"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57">
        <v>0.92</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57">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7.29"/>
    <col customWidth="1" hidden="1" min="17" max="18" width="7.29"/>
    <col customWidth="1" min="19" max="19" width="7.29"/>
    <col customWidth="1" min="20" max="20" width="11.43"/>
    <col customWidth="1" min="21" max="21" width="9.0"/>
    <col customWidth="1" min="22" max="22" width="5.71"/>
    <col customWidth="1" min="23" max="23" width="10.43"/>
    <col customWidth="1" min="24" max="24" width="10.0"/>
    <col customWidth="1" min="25" max="26" width="10.71"/>
  </cols>
  <sheetData>
    <row r="1" ht="12.7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2.7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75" customHeight="1">
      <c r="A3" s="42"/>
      <c r="D3" s="38" t="s">
        <v>257</v>
      </c>
      <c r="E3" s="36"/>
      <c r="F3" s="36"/>
      <c r="G3" s="36"/>
      <c r="H3" s="36"/>
      <c r="I3" s="36"/>
      <c r="J3" s="36"/>
      <c r="K3" s="36"/>
      <c r="L3" s="36"/>
      <c r="M3" s="36"/>
      <c r="N3" s="36"/>
      <c r="O3" s="40"/>
      <c r="P3" s="41"/>
      <c r="Q3" s="41"/>
      <c r="R3" s="41"/>
      <c r="S3" s="41"/>
      <c r="T3" s="41"/>
      <c r="U3" s="41"/>
      <c r="V3" s="41"/>
      <c r="W3" s="41"/>
      <c r="X3" s="41"/>
      <c r="Y3" s="41"/>
      <c r="Z3" s="41"/>
    </row>
    <row r="4" ht="10.5"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Sta.Mría'!$B14</f>
        <v>Cobertura   (Servicio de Aseo) </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Sta.Mría'!F14</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Sta.Mría'!A14</f>
        <v>IN07</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47.25" customHeight="1">
      <c r="A11" s="80" t="str">
        <f>'SET SP Sta.Mría'!$C14</f>
        <v>Medir el grado de cobertura en   la prestación del servicio de aseo administrado  por Aguas del Huila. </v>
      </c>
      <c r="B11" s="63"/>
      <c r="C11" s="63"/>
      <c r="D11" s="64"/>
      <c r="E11" s="81" t="s">
        <v>70</v>
      </c>
      <c r="F11" s="82" t="str">
        <f>'SET SP Sta.Mría'!$D14</f>
        <v>(Residuos sólidos recolectada / Residuos sólidos producidos) x 100%           </v>
      </c>
      <c r="G11" s="64"/>
      <c r="H11" s="166">
        <f>$O18</f>
        <v>1</v>
      </c>
      <c r="I11" s="84" t="str">
        <f>'SET SP Sta.Mría'!$E14</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18.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+'06'!A15:O15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1">
        <f t="shared" ref="C17:N17" si="1">$O$17</f>
        <v>0.92</v>
      </c>
      <c r="D17" s="101">
        <f t="shared" si="1"/>
        <v>0.92</v>
      </c>
      <c r="E17" s="101">
        <f t="shared" si="1"/>
        <v>0.92</v>
      </c>
      <c r="F17" s="101">
        <f t="shared" si="1"/>
        <v>0.92</v>
      </c>
      <c r="G17" s="101">
        <f t="shared" si="1"/>
        <v>0.92</v>
      </c>
      <c r="H17" s="101">
        <f t="shared" si="1"/>
        <v>0.92</v>
      </c>
      <c r="I17" s="101">
        <f t="shared" si="1"/>
        <v>0.92</v>
      </c>
      <c r="J17" s="101">
        <f t="shared" si="1"/>
        <v>0.92</v>
      </c>
      <c r="K17" s="101">
        <f t="shared" si="1"/>
        <v>0.92</v>
      </c>
      <c r="L17" s="101">
        <f t="shared" si="1"/>
        <v>0.92</v>
      </c>
      <c r="M17" s="101">
        <f t="shared" si="1"/>
        <v>0.92</v>
      </c>
      <c r="N17" s="101">
        <f t="shared" si="1"/>
        <v>0.92</v>
      </c>
      <c r="O17" s="169">
        <f>'SET SP Sta.Mría'!J14</f>
        <v>0.92</v>
      </c>
      <c r="P17" s="41"/>
      <c r="Q17" s="41"/>
      <c r="R17" s="41"/>
      <c r="S17" s="41"/>
      <c r="T17" s="41"/>
      <c r="U17" s="41"/>
      <c r="V17" s="92"/>
      <c r="W17" s="95"/>
      <c r="X17" s="95"/>
      <c r="Y17" s="41"/>
      <c r="Z17" s="41"/>
    </row>
    <row r="18" ht="17.25" customHeight="1">
      <c r="A18" s="99" t="str">
        <f>+'06'!A18:B18</f>
        <v>META  AÑO 2025</v>
      </c>
      <c r="B18" s="55"/>
      <c r="C18" s="101">
        <f t="shared" ref="C18:N18" si="2">$O$18</f>
        <v>1</v>
      </c>
      <c r="D18" s="101">
        <f t="shared" si="2"/>
        <v>1</v>
      </c>
      <c r="E18" s="101">
        <f t="shared" si="2"/>
        <v>1</v>
      </c>
      <c r="F18" s="101">
        <f t="shared" si="2"/>
        <v>1</v>
      </c>
      <c r="G18" s="101">
        <f t="shared" si="2"/>
        <v>1</v>
      </c>
      <c r="H18" s="101">
        <f t="shared" si="2"/>
        <v>1</v>
      </c>
      <c r="I18" s="101">
        <f t="shared" si="2"/>
        <v>1</v>
      </c>
      <c r="J18" s="101">
        <f t="shared" si="2"/>
        <v>1</v>
      </c>
      <c r="K18" s="101">
        <f t="shared" si="2"/>
        <v>1</v>
      </c>
      <c r="L18" s="101">
        <f t="shared" si="2"/>
        <v>1</v>
      </c>
      <c r="M18" s="101">
        <f t="shared" si="2"/>
        <v>1</v>
      </c>
      <c r="N18" s="101">
        <f t="shared" si="2"/>
        <v>1</v>
      </c>
      <c r="O18" s="169">
        <f>'SET SP Sta.Mría'!K14</f>
        <v>1</v>
      </c>
      <c r="P18" s="41"/>
      <c r="Q18" s="41"/>
      <c r="R18" s="41"/>
      <c r="S18" s="41"/>
      <c r="T18" s="41"/>
      <c r="U18" s="41"/>
      <c r="V18" s="92"/>
      <c r="W18" s="95"/>
      <c r="X18" s="95"/>
      <c r="Y18" s="41"/>
      <c r="Z18" s="41"/>
    </row>
    <row r="19" ht="17.25" customHeight="1">
      <c r="A19" s="106" t="s">
        <v>91</v>
      </c>
      <c r="B19" s="55"/>
      <c r="C19" s="170" t="str">
        <f t="shared" ref="C19:O19" si="3">IF(ISNUMBER(C21),C20/C21,"-")</f>
        <v>#DIV/0!</v>
      </c>
      <c r="D19" s="170" t="str">
        <f t="shared" si="3"/>
        <v>#DIV/0!</v>
      </c>
      <c r="E19" s="170" t="str">
        <f t="shared" si="3"/>
        <v>#DIV/0!</v>
      </c>
      <c r="F19" s="170" t="str">
        <f t="shared" si="3"/>
        <v>#DIV/0!</v>
      </c>
      <c r="G19" s="170" t="str">
        <f t="shared" si="3"/>
        <v>#DIV/0!</v>
      </c>
      <c r="H19" s="170" t="str">
        <f t="shared" si="3"/>
        <v>#DIV/0!</v>
      </c>
      <c r="I19" s="170" t="str">
        <f t="shared" si="3"/>
        <v>#DIV/0!</v>
      </c>
      <c r="J19" s="170" t="str">
        <f t="shared" si="3"/>
        <v>#DIV/0!</v>
      </c>
      <c r="K19" s="170" t="str">
        <f t="shared" si="3"/>
        <v>#DIV/0!</v>
      </c>
      <c r="L19" s="170" t="str">
        <f t="shared" si="3"/>
        <v>#DIV/0!</v>
      </c>
      <c r="M19" s="170" t="str">
        <f t="shared" si="3"/>
        <v>#DIV/0!</v>
      </c>
      <c r="N19" s="170" t="str">
        <f t="shared" si="3"/>
        <v>#DIV/0!</v>
      </c>
      <c r="O19" s="171" t="str">
        <f t="shared" si="3"/>
        <v>#DIV/0!</v>
      </c>
      <c r="P19" s="41"/>
      <c r="Q19" s="41"/>
      <c r="R19" s="41"/>
      <c r="S19" s="41"/>
      <c r="T19" s="41"/>
      <c r="U19" s="41"/>
      <c r="V19" s="92"/>
      <c r="W19" s="95"/>
      <c r="X19" s="95"/>
      <c r="Y19" s="41"/>
      <c r="Z19" s="41"/>
    </row>
    <row r="20" ht="17.25" customHeight="1">
      <c r="A20" s="110" t="s">
        <v>92</v>
      </c>
      <c r="B20" s="111" t="s">
        <v>258</v>
      </c>
      <c r="C20" s="172" t="str">
        <f>'STA MARIA2020'!D$36</f>
        <v/>
      </c>
      <c r="D20" s="173" t="str">
        <f>'STA MARIA2020'!E$36</f>
        <v/>
      </c>
      <c r="E20" s="174" t="str">
        <f>'STA MARIA2020'!F$36</f>
        <v/>
      </c>
      <c r="F20" s="172" t="str">
        <f>'STA MARIA2020'!G$36</f>
        <v/>
      </c>
      <c r="G20" s="172" t="str">
        <f>'STA MARIA2020'!H$36</f>
        <v/>
      </c>
      <c r="H20" s="173" t="str">
        <f>'STA MARIA2020'!I$36</f>
        <v/>
      </c>
      <c r="I20" s="173" t="str">
        <f>'STA MARIA2020'!J$36</f>
        <v/>
      </c>
      <c r="J20" s="172" t="str">
        <f>'STA MARIA2020'!K$36</f>
        <v/>
      </c>
      <c r="K20" s="172" t="str">
        <f>'STA MARIA2020'!L$36</f>
        <v/>
      </c>
      <c r="L20" s="172" t="str">
        <f>'STA MARIA2020'!M$36</f>
        <v/>
      </c>
      <c r="M20" s="173" t="str">
        <f>'STA MARIA2020'!N$36</f>
        <v/>
      </c>
      <c r="N20" s="172" t="str">
        <f>'STA MARIA2020'!O$36</f>
        <v/>
      </c>
      <c r="O20" s="119">
        <f t="shared" ref="O20:O21" si="4">SUM(C20:N20)</f>
        <v>0</v>
      </c>
      <c r="P20" s="41"/>
      <c r="Q20" s="41"/>
      <c r="R20" s="41"/>
      <c r="S20" s="41"/>
      <c r="T20" s="41"/>
      <c r="U20" s="41"/>
      <c r="V20" s="92"/>
      <c r="W20" s="95"/>
      <c r="X20" s="95"/>
      <c r="Y20" s="41"/>
      <c r="Z20" s="41"/>
    </row>
    <row r="21" ht="17.25" customHeight="1">
      <c r="A21" s="115"/>
      <c r="B21" s="111" t="s">
        <v>259</v>
      </c>
      <c r="C21" s="172">
        <f>IF(('STA MARIA2020'!D55),C20/'STA MARIA2020'!D55,"0")</f>
        <v>0</v>
      </c>
      <c r="D21" s="172">
        <f>IF(('STA MARIA2020'!E55),D20/'STA MARIA2020'!E55,"0")</f>
        <v>0</v>
      </c>
      <c r="E21" s="172">
        <f>IF(('STA MARIA2020'!F55),E20/'STA MARIA2020'!F55,"0")</f>
        <v>0</v>
      </c>
      <c r="F21" s="172">
        <f>IF(('STA MARIA2020'!G55),F20/'STA MARIA2020'!G55,"0")</f>
        <v>0</v>
      </c>
      <c r="G21" s="172">
        <f>IF(('STA MARIA2020'!H55),G20/'STA MARIA2020'!H55,"0")</f>
        <v>0</v>
      </c>
      <c r="H21" s="172">
        <f>IF(('STA MARIA2020'!I55),H20/'STA MARIA2020'!I55,"0")</f>
        <v>0</v>
      </c>
      <c r="I21" s="172">
        <f>IF(('STA MARIA2020'!J55),I20/'STA MARIA2020'!J55,"0")</f>
        <v>0</v>
      </c>
      <c r="J21" s="172">
        <f>IF(('STA MARIA2020'!K55),J20/'STA MARIA2020'!K55,"0")</f>
        <v>0</v>
      </c>
      <c r="K21" s="172">
        <f>IF(('STA MARIA2020'!L55),K20/'STA MARIA2020'!L55,"0")</f>
        <v>0</v>
      </c>
      <c r="L21" s="172">
        <f>IF(('STA MARIA2020'!M55),L20/'STA MARIA2020'!M55,"0")</f>
        <v>0</v>
      </c>
      <c r="M21" s="172">
        <f>IF(('STA MARIA2020'!N55),M20/'STA MARIA2020'!N55,"0")</f>
        <v>0</v>
      </c>
      <c r="N21" s="172">
        <f>IF(('STA MARIA2020'!O55),N20/'STA MARIA2020'!O55,"0")</f>
        <v>0</v>
      </c>
      <c r="O21" s="119">
        <f t="shared" si="4"/>
        <v>0</v>
      </c>
      <c r="P21" s="41"/>
      <c r="Q21" s="41"/>
      <c r="R21" s="41"/>
      <c r="S21" s="41"/>
      <c r="T21" s="41"/>
      <c r="U21" s="41"/>
      <c r="V21" s="92"/>
      <c r="W21" s="95"/>
      <c r="X21" s="95"/>
      <c r="Y21" s="41"/>
      <c r="Z21" s="41"/>
    </row>
    <row r="22" ht="15.0" customHeight="1">
      <c r="A22" s="115"/>
      <c r="B22" s="175"/>
      <c r="C22" s="176"/>
      <c r="D22" s="176"/>
      <c r="E22" s="176"/>
      <c r="F22" s="176"/>
      <c r="G22" s="176"/>
      <c r="H22" s="176"/>
      <c r="I22" s="176"/>
      <c r="J22" s="176"/>
      <c r="K22" s="176"/>
      <c r="L22" s="176"/>
      <c r="M22" s="176"/>
      <c r="N22" s="176"/>
      <c r="O22" s="177"/>
      <c r="P22" s="41"/>
      <c r="Q22" s="41"/>
      <c r="R22" s="41"/>
      <c r="S22" s="41"/>
      <c r="T22" s="41"/>
      <c r="U22" s="41"/>
      <c r="V22" s="92"/>
      <c r="W22" s="95"/>
      <c r="X22" s="95"/>
      <c r="Y22" s="41"/>
      <c r="Z22" s="41"/>
    </row>
    <row r="23" ht="13.5"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Sta.Mría'!$G14</f>
        <v>Entre 80% y 100%</v>
      </c>
      <c r="E24" s="127"/>
      <c r="F24" s="127"/>
      <c r="G24" s="128"/>
      <c r="H24" s="126" t="str">
        <f>'SET SP Sta.Mría'!$H14</f>
        <v>Entre 60% y 79%</v>
      </c>
      <c r="I24" s="127"/>
      <c r="J24" s="127"/>
      <c r="K24" s="128"/>
      <c r="L24" s="126" t="str">
        <f>'SET SP Sta.Mría'!$I14</f>
        <v>Menor al 59%</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261</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7" t="s">
        <v>262</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7" t="s">
        <v>262</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7" t="s">
        <v>262</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7" t="s">
        <v>262</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7" t="s">
        <v>262</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7" t="s">
        <v>262</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7" t="s">
        <v>262</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7" t="s">
        <v>262</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7" t="s">
        <v>262</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7" t="s">
        <v>262</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7" t="s">
        <v>262</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7" t="s">
        <v>262</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25.5" customHeight="1">
      <c r="A41" s="178" t="s">
        <v>263</v>
      </c>
      <c r="B41" s="75"/>
      <c r="C41" s="75"/>
      <c r="D41" s="75"/>
      <c r="E41" s="75"/>
      <c r="F41" s="75"/>
      <c r="G41" s="75"/>
      <c r="H41" s="75"/>
      <c r="I41" s="75"/>
      <c r="J41" s="75"/>
      <c r="K41" s="75"/>
      <c r="L41" s="75"/>
      <c r="M41" s="76"/>
      <c r="N41" s="142" t="s">
        <v>127</v>
      </c>
      <c r="O41" s="52"/>
      <c r="P41" s="41"/>
      <c r="Q41" s="41"/>
      <c r="R41" s="41"/>
      <c r="S41" s="41"/>
      <c r="T41" s="41"/>
      <c r="U41" s="41"/>
      <c r="V41" s="41"/>
      <c r="W41" s="41"/>
      <c r="X41" s="41"/>
      <c r="Y41" s="41"/>
      <c r="Z41" s="41"/>
    </row>
    <row r="42" ht="12.75" customHeight="1">
      <c r="A42" s="147"/>
      <c r="B42" s="54"/>
      <c r="C42" s="54"/>
      <c r="D42" s="54"/>
      <c r="E42" s="54"/>
      <c r="F42" s="54"/>
      <c r="G42" s="54"/>
      <c r="H42" s="54"/>
      <c r="I42" s="54"/>
      <c r="J42" s="54"/>
      <c r="K42" s="54"/>
      <c r="L42" s="54"/>
      <c r="M42" s="55"/>
      <c r="N42" s="146"/>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6.0"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79">
        <v>0.92</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79">
        <v>1.0</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8.0"/>
    <col customWidth="1" hidden="1" min="17" max="18" width="8.0"/>
    <col customWidth="1" min="19" max="19" width="8.0"/>
    <col customWidth="1" min="20" max="20" width="11.43"/>
    <col customWidth="1" min="21" max="21" width="9.0"/>
    <col customWidth="1" min="22" max="22" width="5.71"/>
    <col customWidth="1" min="23" max="23" width="10.43"/>
    <col customWidth="1" min="24" max="24" width="10.0"/>
    <col customWidth="1" min="25" max="26" width="10.71"/>
  </cols>
  <sheetData>
    <row r="1" ht="13.5" customHeight="1">
      <c r="A1" s="35"/>
      <c r="B1" s="36"/>
      <c r="C1" s="36"/>
      <c r="D1" s="38" t="s">
        <v>0</v>
      </c>
      <c r="E1" s="36"/>
      <c r="F1" s="36"/>
      <c r="G1" s="36"/>
      <c r="H1" s="36"/>
      <c r="I1" s="36"/>
      <c r="J1" s="36"/>
      <c r="K1" s="36"/>
      <c r="L1" s="36"/>
      <c r="M1" s="36"/>
      <c r="N1" s="36"/>
      <c r="O1" s="40"/>
      <c r="P1" s="41"/>
      <c r="Q1" s="41"/>
      <c r="R1" s="41"/>
      <c r="S1" s="41"/>
      <c r="T1" s="41"/>
      <c r="U1" s="41"/>
      <c r="V1" s="41"/>
      <c r="W1" s="41"/>
      <c r="X1" s="41"/>
      <c r="Y1" s="41"/>
      <c r="Z1" s="41"/>
    </row>
    <row r="2" ht="13.5" customHeight="1">
      <c r="A2" s="42"/>
      <c r="D2" s="43" t="s">
        <v>1</v>
      </c>
      <c r="E2" s="44"/>
      <c r="F2" s="44"/>
      <c r="G2" s="44"/>
      <c r="H2" s="44"/>
      <c r="I2" s="44"/>
      <c r="J2" s="44"/>
      <c r="K2" s="44"/>
      <c r="L2" s="44"/>
      <c r="M2" s="44"/>
      <c r="N2" s="44"/>
      <c r="O2" s="45"/>
      <c r="P2" s="41"/>
      <c r="Q2" s="41"/>
      <c r="R2" s="41"/>
      <c r="S2" s="41"/>
      <c r="T2" s="41"/>
      <c r="U2" s="41"/>
      <c r="V2" s="41"/>
      <c r="W2" s="41"/>
      <c r="X2" s="41"/>
      <c r="Y2" s="41"/>
      <c r="Z2" s="41"/>
    </row>
    <row r="3" ht="15.0" customHeight="1">
      <c r="A3" s="42"/>
      <c r="D3" s="38" t="s">
        <v>260</v>
      </c>
      <c r="E3" s="36"/>
      <c r="F3" s="36"/>
      <c r="G3" s="36"/>
      <c r="H3" s="36"/>
      <c r="I3" s="36"/>
      <c r="J3" s="36"/>
      <c r="K3" s="36"/>
      <c r="L3" s="36"/>
      <c r="M3" s="36"/>
      <c r="N3" s="36"/>
      <c r="O3" s="40"/>
      <c r="P3" s="41"/>
      <c r="Q3" s="41"/>
      <c r="R3" s="41"/>
      <c r="S3" s="41"/>
      <c r="T3" s="41"/>
      <c r="U3" s="41"/>
      <c r="V3" s="41"/>
      <c r="W3" s="41"/>
      <c r="X3" s="41"/>
      <c r="Y3" s="41"/>
      <c r="Z3" s="41"/>
    </row>
    <row r="4" ht="12.0" customHeight="1">
      <c r="A4" s="46"/>
      <c r="B4" s="44"/>
      <c r="C4" s="44"/>
      <c r="D4" s="47" t="s">
        <v>43</v>
      </c>
      <c r="E4" s="44"/>
      <c r="F4" s="44"/>
      <c r="G4" s="44"/>
      <c r="H4" s="44"/>
      <c r="I4" s="44"/>
      <c r="J4" s="44"/>
      <c r="K4" s="44"/>
      <c r="L4" s="44"/>
      <c r="M4" s="44"/>
      <c r="N4" s="44"/>
      <c r="O4" s="45"/>
      <c r="P4" s="41"/>
      <c r="Q4" s="41"/>
      <c r="R4" s="41"/>
      <c r="S4" s="41"/>
      <c r="T4" s="41"/>
      <c r="U4" s="41"/>
      <c r="V4" s="41"/>
      <c r="W4" s="41"/>
      <c r="X4" s="41"/>
      <c r="Y4" s="41"/>
      <c r="Z4" s="41"/>
    </row>
    <row r="5" ht="13.5" customHeight="1">
      <c r="A5" s="48" t="s">
        <v>44</v>
      </c>
      <c r="B5" s="49"/>
      <c r="C5" s="49"/>
      <c r="D5" s="49"/>
      <c r="E5" s="50"/>
      <c r="F5" s="51" t="str">
        <f>'SET SP Sta.Mría'!J5</f>
        <v>GESTIÓN DE SERVICIOS PÚBLICOS - SANTA MARÍA</v>
      </c>
      <c r="G5" s="49"/>
      <c r="H5" s="49"/>
      <c r="I5" s="49"/>
      <c r="J5" s="49"/>
      <c r="K5" s="49"/>
      <c r="L5" s="49"/>
      <c r="M5" s="49"/>
      <c r="N5" s="49"/>
      <c r="O5" s="52"/>
      <c r="P5" s="41"/>
      <c r="Q5" s="41"/>
      <c r="R5" s="41"/>
      <c r="S5" s="41"/>
      <c r="T5" s="41"/>
      <c r="U5" s="41"/>
      <c r="V5" s="41"/>
      <c r="W5" s="41"/>
      <c r="X5" s="41"/>
      <c r="Y5" s="41"/>
      <c r="Z5" s="41"/>
    </row>
    <row r="6" ht="15.75" customHeight="1">
      <c r="A6" s="53" t="s">
        <v>6</v>
      </c>
      <c r="B6" s="54"/>
      <c r="C6" s="54"/>
      <c r="D6" s="54"/>
      <c r="E6" s="55"/>
      <c r="F6" s="56" t="str">
        <f>'SET SP Sta.Mría'!$B15</f>
        <v>Cobertura de medición</v>
      </c>
      <c r="G6" s="54"/>
      <c r="H6" s="54"/>
      <c r="I6" s="54"/>
      <c r="J6" s="54"/>
      <c r="K6" s="54"/>
      <c r="L6" s="54"/>
      <c r="M6" s="54"/>
      <c r="N6" s="54"/>
      <c r="O6" s="59"/>
      <c r="P6" s="41"/>
      <c r="Q6" s="41"/>
      <c r="R6" s="41"/>
      <c r="S6" s="41"/>
      <c r="T6" s="41"/>
      <c r="U6" s="41"/>
      <c r="V6" s="41"/>
      <c r="W6" s="41"/>
      <c r="X6" s="41"/>
      <c r="Y6" s="41"/>
      <c r="Z6" s="41"/>
    </row>
    <row r="7" ht="15.75" customHeight="1">
      <c r="A7" s="53" t="s">
        <v>51</v>
      </c>
      <c r="B7" s="54"/>
      <c r="C7" s="54"/>
      <c r="D7" s="54"/>
      <c r="E7" s="55"/>
      <c r="F7" s="61" t="str">
        <f>'SET SP Sta.Mría'!F15</f>
        <v>Eficiencia </v>
      </c>
      <c r="G7" s="54"/>
      <c r="H7" s="54"/>
      <c r="I7" s="54"/>
      <c r="J7" s="54"/>
      <c r="K7" s="54"/>
      <c r="L7" s="54"/>
      <c r="M7" s="54"/>
      <c r="N7" s="54"/>
      <c r="O7" s="59"/>
      <c r="P7" s="41"/>
      <c r="Q7" s="41"/>
      <c r="R7" s="41"/>
      <c r="S7" s="41"/>
      <c r="T7" s="41"/>
      <c r="U7" s="41"/>
      <c r="V7" s="41"/>
      <c r="W7" s="41"/>
      <c r="X7" s="41"/>
      <c r="Y7" s="41"/>
      <c r="Z7" s="41"/>
    </row>
    <row r="8" ht="17.25" customHeight="1">
      <c r="A8" s="62" t="s">
        <v>52</v>
      </c>
      <c r="B8" s="63"/>
      <c r="C8" s="63"/>
      <c r="D8" s="63"/>
      <c r="E8" s="64"/>
      <c r="F8" s="65" t="s">
        <v>53</v>
      </c>
      <c r="G8" s="66" t="str">
        <f>'SET SP Sta.Mría'!A15</f>
        <v>IN08</v>
      </c>
      <c r="H8" s="63"/>
      <c r="I8" s="63"/>
      <c r="J8" s="63"/>
      <c r="K8" s="63"/>
      <c r="L8" s="63"/>
      <c r="M8" s="63"/>
      <c r="N8" s="63"/>
      <c r="O8" s="67"/>
      <c r="P8" s="41"/>
      <c r="Q8" s="41"/>
      <c r="R8" s="41"/>
      <c r="S8" s="41"/>
      <c r="T8" s="41"/>
      <c r="U8" s="41"/>
      <c r="V8" s="41"/>
      <c r="W8" s="41"/>
      <c r="X8" s="41"/>
      <c r="Y8" s="41"/>
      <c r="Z8" s="41"/>
    </row>
    <row r="9" ht="12.75" customHeight="1">
      <c r="A9" s="68" t="s">
        <v>54</v>
      </c>
      <c r="B9" s="36"/>
      <c r="C9" s="36"/>
      <c r="D9" s="69"/>
      <c r="E9" s="70" t="s">
        <v>55</v>
      </c>
      <c r="F9" s="71" t="s">
        <v>56</v>
      </c>
      <c r="G9" s="69"/>
      <c r="H9" s="70" t="s">
        <v>60</v>
      </c>
      <c r="I9" s="70" t="s">
        <v>62</v>
      </c>
      <c r="J9" s="71" t="s">
        <v>63</v>
      </c>
      <c r="K9" s="69"/>
      <c r="L9" s="72" t="s">
        <v>66</v>
      </c>
      <c r="M9" s="49"/>
      <c r="N9" s="49"/>
      <c r="O9" s="52"/>
      <c r="P9" s="41"/>
      <c r="Q9" s="41"/>
      <c r="R9" s="41"/>
      <c r="S9" s="41"/>
      <c r="T9" s="41"/>
      <c r="U9" s="41"/>
      <c r="V9" s="41"/>
      <c r="W9" s="41"/>
      <c r="X9" s="41"/>
      <c r="Y9" s="41"/>
      <c r="Z9" s="41"/>
    </row>
    <row r="10" ht="46.5" customHeight="1">
      <c r="A10" s="74"/>
      <c r="B10" s="75"/>
      <c r="C10" s="75"/>
      <c r="D10" s="76"/>
      <c r="E10" s="77"/>
      <c r="F10" s="78"/>
      <c r="G10" s="76"/>
      <c r="H10" s="77"/>
      <c r="I10" s="77"/>
      <c r="J10" s="78"/>
      <c r="K10" s="76"/>
      <c r="L10" s="79" t="s">
        <v>68</v>
      </c>
      <c r="M10" s="55"/>
      <c r="N10" s="79" t="s">
        <v>69</v>
      </c>
      <c r="O10" s="59"/>
      <c r="P10" s="41"/>
      <c r="Q10" s="41"/>
      <c r="R10" s="41"/>
      <c r="S10" s="41"/>
      <c r="T10" s="41"/>
      <c r="U10" s="41"/>
      <c r="V10" s="41"/>
      <c r="W10" s="41"/>
      <c r="X10" s="41"/>
      <c r="Y10" s="41"/>
      <c r="Z10" s="41"/>
    </row>
    <row r="11" ht="58.5" customHeight="1">
      <c r="A11" s="80" t="str">
        <f>'SET SP Sta.Mría'!$C15</f>
        <v>Lograr que los suscriptores del servicio de acueducto de Aguas del Huila, tengan su instrumento medición.</v>
      </c>
      <c r="B11" s="63"/>
      <c r="C11" s="63"/>
      <c r="D11" s="64"/>
      <c r="E11" s="81" t="s">
        <v>70</v>
      </c>
      <c r="F11" s="82" t="str">
        <f>'SET SP Sta.Mría'!$D15</f>
        <v>(Número de Medidores en servicio / Número de Suscriptores) x 100%          </v>
      </c>
      <c r="G11" s="64"/>
      <c r="H11" s="166">
        <f>$O18</f>
        <v>0.95</v>
      </c>
      <c r="I11" s="84" t="str">
        <f>'SET SP Sta.Mría'!$E15</f>
        <v>Trimestral</v>
      </c>
      <c r="J11" s="86" t="s">
        <v>72</v>
      </c>
      <c r="K11" s="63"/>
      <c r="L11" s="63"/>
      <c r="M11" s="63"/>
      <c r="N11" s="63"/>
      <c r="O11" s="67"/>
      <c r="P11" s="41"/>
      <c r="Q11" s="41"/>
      <c r="R11" s="41"/>
      <c r="S11" s="41"/>
      <c r="T11" s="41"/>
      <c r="U11" s="41"/>
      <c r="V11" s="41"/>
      <c r="W11" s="41"/>
      <c r="X11" s="41"/>
      <c r="Y11" s="41"/>
      <c r="Z11" s="41"/>
    </row>
    <row r="12" ht="13.5" customHeight="1">
      <c r="A12" s="87" t="s">
        <v>77</v>
      </c>
      <c r="B12" s="88"/>
      <c r="C12" s="88"/>
      <c r="D12" s="88"/>
      <c r="E12" s="88"/>
      <c r="F12" s="88"/>
      <c r="G12" s="88"/>
      <c r="H12" s="88"/>
      <c r="I12" s="88"/>
      <c r="J12" s="88"/>
      <c r="K12" s="88"/>
      <c r="L12" s="88"/>
      <c r="M12" s="88"/>
      <c r="N12" s="88"/>
      <c r="O12" s="89"/>
      <c r="P12" s="41"/>
      <c r="Q12" s="41"/>
      <c r="R12" s="41"/>
      <c r="S12" s="41"/>
      <c r="T12" s="41"/>
      <c r="U12" s="41"/>
      <c r="V12" s="41"/>
      <c r="W12" s="41"/>
      <c r="X12" s="41"/>
      <c r="Y12" s="41"/>
      <c r="Z12" s="41"/>
    </row>
    <row r="13" ht="24.75" customHeight="1">
      <c r="A13" s="90"/>
      <c r="B13" s="44"/>
      <c r="C13" s="44"/>
      <c r="D13" s="44"/>
      <c r="E13" s="44"/>
      <c r="F13" s="44"/>
      <c r="G13" s="44"/>
      <c r="H13" s="44"/>
      <c r="I13" s="44"/>
      <c r="J13" s="44"/>
      <c r="K13" s="44"/>
      <c r="L13" s="44"/>
      <c r="M13" s="44"/>
      <c r="N13" s="44"/>
      <c r="O13" s="45"/>
      <c r="P13" s="41"/>
      <c r="Q13" s="41"/>
      <c r="R13" s="41"/>
      <c r="S13" s="41"/>
      <c r="T13" s="41"/>
      <c r="U13" s="41"/>
      <c r="V13" s="41"/>
      <c r="W13" s="41"/>
      <c r="X13" s="41"/>
      <c r="Y13" s="41"/>
      <c r="Z13" s="41"/>
    </row>
    <row r="14" ht="15.0" customHeight="1">
      <c r="A14" s="162" t="s">
        <v>78</v>
      </c>
      <c r="B14" s="163"/>
      <c r="C14" s="163"/>
      <c r="D14" s="163"/>
      <c r="E14" s="163"/>
      <c r="F14" s="163"/>
      <c r="G14" s="163"/>
      <c r="H14" s="163"/>
      <c r="I14" s="163"/>
      <c r="J14" s="163"/>
      <c r="K14" s="163"/>
      <c r="L14" s="163"/>
      <c r="M14" s="163"/>
      <c r="N14" s="163"/>
      <c r="O14" s="164"/>
      <c r="P14" s="41"/>
      <c r="Q14" s="41"/>
      <c r="R14" s="41"/>
      <c r="S14" s="41"/>
      <c r="T14" s="41"/>
      <c r="U14" s="41"/>
      <c r="V14" s="92"/>
      <c r="W14" s="93"/>
      <c r="X14" s="93"/>
      <c r="Y14" s="41"/>
      <c r="Z14" s="41"/>
    </row>
    <row r="15" ht="16.5" customHeight="1">
      <c r="A15" s="94" t="str">
        <f>+'07'!A15:O15</f>
        <v>VIGENCIA 2025</v>
      </c>
      <c r="B15" s="49"/>
      <c r="C15" s="49"/>
      <c r="D15" s="49"/>
      <c r="E15" s="49"/>
      <c r="F15" s="49"/>
      <c r="G15" s="49"/>
      <c r="H15" s="49"/>
      <c r="I15" s="49"/>
      <c r="J15" s="49"/>
      <c r="K15" s="49"/>
      <c r="L15" s="49"/>
      <c r="M15" s="49"/>
      <c r="N15" s="49"/>
      <c r="O15" s="52"/>
      <c r="P15" s="41"/>
      <c r="Q15" s="41"/>
      <c r="R15" s="41"/>
      <c r="S15" s="41"/>
      <c r="T15" s="41"/>
      <c r="U15" s="41"/>
      <c r="V15" s="92"/>
      <c r="W15" s="95"/>
      <c r="X15" s="95"/>
      <c r="Y15" s="41"/>
      <c r="Z15" s="41"/>
    </row>
    <row r="16" ht="16.5" customHeight="1">
      <c r="A16" s="96" t="s">
        <v>80</v>
      </c>
      <c r="B16" s="55"/>
      <c r="C16" s="97" t="s">
        <v>19</v>
      </c>
      <c r="D16" s="97" t="s">
        <v>20</v>
      </c>
      <c r="E16" s="97" t="s">
        <v>21</v>
      </c>
      <c r="F16" s="97" t="s">
        <v>22</v>
      </c>
      <c r="G16" s="97" t="s">
        <v>23</v>
      </c>
      <c r="H16" s="97" t="s">
        <v>24</v>
      </c>
      <c r="I16" s="97" t="s">
        <v>25</v>
      </c>
      <c r="J16" s="97" t="s">
        <v>26</v>
      </c>
      <c r="K16" s="97" t="s">
        <v>27</v>
      </c>
      <c r="L16" s="97" t="s">
        <v>28</v>
      </c>
      <c r="M16" s="97" t="s">
        <v>29</v>
      </c>
      <c r="N16" s="97" t="s">
        <v>30</v>
      </c>
      <c r="O16" s="98" t="s">
        <v>85</v>
      </c>
      <c r="P16" s="41"/>
      <c r="Q16" s="41"/>
      <c r="R16" s="41"/>
      <c r="S16" s="41"/>
      <c r="T16" s="41"/>
      <c r="U16" s="41"/>
      <c r="V16" s="92"/>
      <c r="W16" s="95"/>
      <c r="X16" s="95"/>
      <c r="Y16" s="41"/>
      <c r="Z16" s="41"/>
    </row>
    <row r="17" ht="16.5" customHeight="1">
      <c r="A17" s="99" t="s">
        <v>12</v>
      </c>
      <c r="B17" s="55"/>
      <c r="C17" s="101">
        <f t="shared" ref="C17:N17" si="1">$O$17</f>
        <v>0.93</v>
      </c>
      <c r="D17" s="101">
        <f t="shared" si="1"/>
        <v>0.93</v>
      </c>
      <c r="E17" s="101">
        <f t="shared" si="1"/>
        <v>0.93</v>
      </c>
      <c r="F17" s="101">
        <f t="shared" si="1"/>
        <v>0.93</v>
      </c>
      <c r="G17" s="101">
        <f t="shared" si="1"/>
        <v>0.93</v>
      </c>
      <c r="H17" s="101">
        <f t="shared" si="1"/>
        <v>0.93</v>
      </c>
      <c r="I17" s="101">
        <f t="shared" si="1"/>
        <v>0.93</v>
      </c>
      <c r="J17" s="101">
        <f t="shared" si="1"/>
        <v>0.93</v>
      </c>
      <c r="K17" s="101">
        <f t="shared" si="1"/>
        <v>0.93</v>
      </c>
      <c r="L17" s="101">
        <f t="shared" si="1"/>
        <v>0.93</v>
      </c>
      <c r="M17" s="101">
        <f t="shared" si="1"/>
        <v>0.93</v>
      </c>
      <c r="N17" s="101">
        <f t="shared" si="1"/>
        <v>0.93</v>
      </c>
      <c r="O17" s="165">
        <f>'SET SP Sta.Mría'!J15</f>
        <v>0.93</v>
      </c>
      <c r="P17" s="41"/>
      <c r="Q17" s="41"/>
      <c r="R17" s="41"/>
      <c r="S17" s="41"/>
      <c r="T17" s="41"/>
      <c r="U17" s="41"/>
      <c r="V17" s="92"/>
      <c r="W17" s="95"/>
      <c r="X17" s="95"/>
      <c r="Y17" s="41"/>
      <c r="Z17" s="41"/>
    </row>
    <row r="18" ht="17.25" customHeight="1">
      <c r="A18" s="99" t="str">
        <f>+'07'!A18:B18</f>
        <v>META  AÑO 2025</v>
      </c>
      <c r="B18" s="55"/>
      <c r="C18" s="101">
        <f t="shared" ref="C18:N18" si="2">$O$18</f>
        <v>0.95</v>
      </c>
      <c r="D18" s="101">
        <f t="shared" si="2"/>
        <v>0.95</v>
      </c>
      <c r="E18" s="101">
        <f t="shared" si="2"/>
        <v>0.95</v>
      </c>
      <c r="F18" s="101">
        <f t="shared" si="2"/>
        <v>0.95</v>
      </c>
      <c r="G18" s="101">
        <f t="shared" si="2"/>
        <v>0.95</v>
      </c>
      <c r="H18" s="101">
        <f t="shared" si="2"/>
        <v>0.95</v>
      </c>
      <c r="I18" s="101">
        <f t="shared" si="2"/>
        <v>0.95</v>
      </c>
      <c r="J18" s="101">
        <f t="shared" si="2"/>
        <v>0.95</v>
      </c>
      <c r="K18" s="101">
        <f t="shared" si="2"/>
        <v>0.95</v>
      </c>
      <c r="L18" s="101">
        <f t="shared" si="2"/>
        <v>0.95</v>
      </c>
      <c r="M18" s="101">
        <f t="shared" si="2"/>
        <v>0.95</v>
      </c>
      <c r="N18" s="101">
        <f t="shared" si="2"/>
        <v>0.95</v>
      </c>
      <c r="O18" s="165">
        <f>'SET SP Sta.Mría'!K15</f>
        <v>0.95</v>
      </c>
      <c r="P18" s="41"/>
      <c r="Q18" s="41"/>
      <c r="R18" s="41"/>
      <c r="S18" s="41"/>
      <c r="T18" s="41"/>
      <c r="U18" s="41"/>
      <c r="V18" s="92"/>
      <c r="W18" s="95"/>
      <c r="X18" s="95"/>
      <c r="Y18" s="41"/>
      <c r="Z18" s="41"/>
    </row>
    <row r="19" ht="17.25" customHeight="1">
      <c r="A19" s="106" t="s">
        <v>91</v>
      </c>
      <c r="B19" s="55"/>
      <c r="C19" s="107">
        <f t="shared" ref="C19:O19" si="3">IF((C21),C20/C21,"-")</f>
        <v>0.879637263</v>
      </c>
      <c r="D19" s="107">
        <f t="shared" si="3"/>
        <v>0.8826446281</v>
      </c>
      <c r="E19" s="107">
        <f t="shared" si="3"/>
        <v>0.8726220017</v>
      </c>
      <c r="F19" s="107">
        <f t="shared" si="3"/>
        <v>0.8537964459</v>
      </c>
      <c r="G19" s="107">
        <f t="shared" si="3"/>
        <v>0.8670473083</v>
      </c>
      <c r="H19" s="107">
        <f t="shared" si="3"/>
        <v>0.8625401929</v>
      </c>
      <c r="I19" s="107">
        <f t="shared" si="3"/>
        <v>0.8439716312</v>
      </c>
      <c r="J19" s="107">
        <f t="shared" si="3"/>
        <v>1</v>
      </c>
      <c r="K19" s="107" t="str">
        <f t="shared" si="3"/>
        <v>#ERROR!</v>
      </c>
      <c r="L19" s="107">
        <f t="shared" si="3"/>
        <v>0.9503875969</v>
      </c>
      <c r="M19" s="107">
        <f t="shared" si="3"/>
        <v>0.9442231076</v>
      </c>
      <c r="N19" s="107">
        <f t="shared" si="3"/>
        <v>0.9496062992</v>
      </c>
      <c r="O19" s="109" t="str">
        <f t="shared" si="3"/>
        <v>#ERROR!</v>
      </c>
      <c r="P19" s="41"/>
      <c r="Q19" s="41"/>
      <c r="R19" s="41"/>
      <c r="S19" s="41"/>
      <c r="T19" s="41"/>
      <c r="U19" s="41"/>
      <c r="V19" s="92"/>
      <c r="W19" s="95"/>
      <c r="X19" s="95"/>
      <c r="Y19" s="41"/>
      <c r="Z19" s="41"/>
    </row>
    <row r="20" ht="16.5" customHeight="1">
      <c r="A20" s="110" t="s">
        <v>92</v>
      </c>
      <c r="B20" s="111" t="s">
        <v>264</v>
      </c>
      <c r="C20" s="102">
        <f>+'STA MARIA2020'!D38</f>
        <v>1067</v>
      </c>
      <c r="D20" s="102">
        <f>+'STA MARIA2020'!E38</f>
        <v>1068</v>
      </c>
      <c r="E20" s="102">
        <f>+'STA MARIA2020'!F38</f>
        <v>1055</v>
      </c>
      <c r="F20" s="102">
        <f>+'STA MARIA2020'!G38</f>
        <v>1057</v>
      </c>
      <c r="G20" s="102">
        <f>+'STA MARIA2020'!H38</f>
        <v>1063</v>
      </c>
      <c r="H20" s="102">
        <f>+'STA MARIA2020'!I38</f>
        <v>1073</v>
      </c>
      <c r="I20" s="102">
        <f>+'STA MARIA2020'!J38</f>
        <v>1071</v>
      </c>
      <c r="J20" s="102">
        <f>+'STA MARIA2020'!K38</f>
        <v>1256</v>
      </c>
      <c r="K20" s="102" t="str">
        <f>+'STA MARIA2020'!#REF!</f>
        <v>#ERROR!</v>
      </c>
      <c r="L20" s="102">
        <f>+'STA MARIA2020'!M38</f>
        <v>1226</v>
      </c>
      <c r="M20" s="102">
        <f>+'STA MARIA2020'!N38</f>
        <v>1185</v>
      </c>
      <c r="N20" s="102">
        <f>+'STA MARIA2020'!O38</f>
        <v>1206</v>
      </c>
      <c r="O20" s="167" t="str">
        <f t="shared" ref="O20:O21" si="4">SUM(C20:N20)</f>
        <v>#ERROR!</v>
      </c>
      <c r="P20" s="41"/>
      <c r="Q20" s="41"/>
      <c r="R20" s="41"/>
      <c r="S20" s="41"/>
      <c r="T20" s="41"/>
      <c r="U20" s="41"/>
      <c r="V20" s="92"/>
      <c r="W20" s="95"/>
      <c r="X20" s="95"/>
      <c r="Y20" s="41"/>
      <c r="Z20" s="41"/>
    </row>
    <row r="21" ht="14.25" customHeight="1">
      <c r="A21" s="115"/>
      <c r="B21" s="111" t="s">
        <v>265</v>
      </c>
      <c r="C21" s="102">
        <f>+'05'!C20</f>
        <v>1213</v>
      </c>
      <c r="D21" s="102">
        <f>+'05'!D20</f>
        <v>1210</v>
      </c>
      <c r="E21" s="102">
        <f>+'05'!E20</f>
        <v>1209</v>
      </c>
      <c r="F21" s="102">
        <f>+'05'!F20</f>
        <v>1238</v>
      </c>
      <c r="G21" s="102">
        <f>+'05'!G20</f>
        <v>1226</v>
      </c>
      <c r="H21" s="102">
        <f>+'05'!H20</f>
        <v>1244</v>
      </c>
      <c r="I21" s="102">
        <f>+'05'!I20</f>
        <v>1269</v>
      </c>
      <c r="J21" s="102">
        <f>+'05'!J20</f>
        <v>1256</v>
      </c>
      <c r="K21" s="102">
        <f>+'05'!K20</f>
        <v>1256</v>
      </c>
      <c r="L21" s="102">
        <f>+'05'!L20</f>
        <v>1290</v>
      </c>
      <c r="M21" s="102">
        <f>+'05'!M20</f>
        <v>1255</v>
      </c>
      <c r="N21" s="102">
        <f>+'05'!N20</f>
        <v>1270</v>
      </c>
      <c r="O21" s="167">
        <f t="shared" si="4"/>
        <v>14936</v>
      </c>
      <c r="P21" s="41"/>
      <c r="Q21" s="41"/>
      <c r="R21" s="41"/>
      <c r="S21" s="41"/>
      <c r="T21" s="41"/>
      <c r="U21" s="41"/>
      <c r="V21" s="92"/>
      <c r="W21" s="95"/>
      <c r="X21" s="95"/>
      <c r="Y21" s="41"/>
      <c r="Z21" s="41"/>
    </row>
    <row r="22" ht="14.25" customHeight="1">
      <c r="A22" s="115"/>
      <c r="B22" s="175"/>
      <c r="C22" s="176"/>
      <c r="D22" s="176"/>
      <c r="E22" s="176"/>
      <c r="F22" s="176"/>
      <c r="G22" s="176"/>
      <c r="H22" s="176"/>
      <c r="I22" s="176"/>
      <c r="J22" s="176"/>
      <c r="K22" s="176"/>
      <c r="L22" s="176"/>
      <c r="M22" s="176"/>
      <c r="N22" s="176"/>
      <c r="O22" s="177"/>
      <c r="P22" s="41"/>
      <c r="Q22" s="41"/>
      <c r="R22" s="41"/>
      <c r="S22" s="41"/>
      <c r="T22" s="41"/>
      <c r="U22" s="41"/>
      <c r="V22" s="92"/>
      <c r="W22" s="95"/>
      <c r="X22" s="95"/>
      <c r="Y22" s="41"/>
      <c r="Z22" s="41"/>
    </row>
    <row r="23" ht="14.25" customHeight="1">
      <c r="A23" s="120"/>
      <c r="B23" s="123" t="s">
        <v>107</v>
      </c>
      <c r="C23" s="122"/>
      <c r="D23" s="122"/>
      <c r="E23" s="122"/>
      <c r="F23" s="122"/>
      <c r="G23" s="122"/>
      <c r="H23" s="122"/>
      <c r="I23" s="122"/>
      <c r="J23" s="122"/>
      <c r="K23" s="122"/>
      <c r="L23" s="122"/>
      <c r="M23" s="122"/>
      <c r="N23" s="122"/>
      <c r="O23" s="124"/>
      <c r="P23" s="41"/>
      <c r="Q23" s="41"/>
      <c r="R23" s="41"/>
      <c r="S23" s="41"/>
      <c r="T23" s="41"/>
      <c r="U23" s="41"/>
      <c r="V23" s="92"/>
      <c r="W23" s="95"/>
      <c r="X23" s="95"/>
      <c r="Y23" s="41"/>
      <c r="Z23" s="41"/>
    </row>
    <row r="24" ht="14.25" customHeight="1">
      <c r="A24" s="125" t="s">
        <v>113</v>
      </c>
      <c r="B24" s="36"/>
      <c r="C24" s="69"/>
      <c r="D24" s="126" t="str">
        <f>'SET SP Sta.Mría'!$G15</f>
        <v>Entre 80% y 100%</v>
      </c>
      <c r="E24" s="127"/>
      <c r="F24" s="127"/>
      <c r="G24" s="128"/>
      <c r="H24" s="126" t="str">
        <f>'SET SP Sta.Mría'!$H15</f>
        <v>Entre 60% y 79%</v>
      </c>
      <c r="I24" s="127"/>
      <c r="J24" s="127"/>
      <c r="K24" s="128"/>
      <c r="L24" s="126" t="str">
        <f>'SET SP Sta.Mría'!$I15</f>
        <v>Menor al 59%</v>
      </c>
      <c r="M24" s="127"/>
      <c r="N24" s="127"/>
      <c r="O24" s="128"/>
      <c r="P24" s="41"/>
      <c r="Q24" s="41"/>
      <c r="R24" s="41"/>
      <c r="S24" s="41"/>
      <c r="T24" s="41"/>
      <c r="U24" s="41"/>
      <c r="V24" s="92"/>
      <c r="W24" s="95"/>
      <c r="X24" s="95"/>
      <c r="Y24" s="41"/>
      <c r="Z24" s="41"/>
    </row>
    <row r="25" ht="33.0" customHeight="1">
      <c r="A25" s="46"/>
      <c r="B25" s="44"/>
      <c r="C25" s="130"/>
      <c r="D25" s="131" t="s">
        <v>15</v>
      </c>
      <c r="E25" s="132"/>
      <c r="F25" s="132"/>
      <c r="G25" s="133"/>
      <c r="H25" s="134" t="s">
        <v>16</v>
      </c>
      <c r="I25" s="132"/>
      <c r="J25" s="132"/>
      <c r="K25" s="133"/>
      <c r="L25" s="135" t="s">
        <v>17</v>
      </c>
      <c r="M25" s="132"/>
      <c r="N25" s="132"/>
      <c r="O25" s="136"/>
      <c r="P25" s="41"/>
      <c r="Q25" s="41"/>
      <c r="R25" s="41"/>
      <c r="S25" s="41"/>
      <c r="T25" s="41"/>
      <c r="U25" s="41"/>
      <c r="V25" s="92"/>
      <c r="W25" s="95"/>
      <c r="X25" s="95"/>
      <c r="Y25" s="41"/>
      <c r="Z25" s="41"/>
    </row>
    <row r="26" ht="15.75" customHeight="1">
      <c r="A26" s="137" t="s">
        <v>117</v>
      </c>
      <c r="B26" s="132"/>
      <c r="C26" s="132"/>
      <c r="D26" s="132"/>
      <c r="E26" s="132"/>
      <c r="F26" s="132"/>
      <c r="G26" s="132"/>
      <c r="H26" s="132"/>
      <c r="I26" s="132"/>
      <c r="J26" s="132"/>
      <c r="K26" s="132"/>
      <c r="L26" s="132"/>
      <c r="M26" s="132"/>
      <c r="N26" s="132"/>
      <c r="O26" s="136"/>
      <c r="P26" s="41"/>
      <c r="Q26" s="41"/>
      <c r="R26" s="41"/>
      <c r="S26" s="41"/>
      <c r="T26" s="41"/>
      <c r="U26" s="41"/>
      <c r="V26" s="92"/>
      <c r="W26" s="95"/>
      <c r="X26" s="95"/>
      <c r="Y26" s="41"/>
      <c r="Z26" s="41"/>
    </row>
    <row r="27" ht="264.75" customHeight="1">
      <c r="A27" s="138"/>
      <c r="B27" s="127"/>
      <c r="C27" s="127"/>
      <c r="D27" s="127"/>
      <c r="E27" s="127"/>
      <c r="F27" s="127"/>
      <c r="G27" s="127"/>
      <c r="H27" s="127"/>
      <c r="I27" s="127"/>
      <c r="J27" s="127"/>
      <c r="K27" s="127"/>
      <c r="L27" s="127"/>
      <c r="M27" s="127"/>
      <c r="N27" s="127"/>
      <c r="O27" s="128"/>
      <c r="P27" s="41"/>
      <c r="Q27" s="41"/>
      <c r="R27" s="41"/>
      <c r="S27" s="41"/>
      <c r="T27" s="41"/>
      <c r="U27" s="41"/>
      <c r="V27" s="92"/>
      <c r="W27" s="41"/>
      <c r="X27" s="41"/>
      <c r="Y27" s="41"/>
      <c r="Z27" s="41"/>
    </row>
    <row r="28" ht="15.0" customHeight="1">
      <c r="A28" s="140" t="s">
        <v>266</v>
      </c>
      <c r="B28" s="49"/>
      <c r="C28" s="49"/>
      <c r="D28" s="49"/>
      <c r="E28" s="49"/>
      <c r="F28" s="49"/>
      <c r="G28" s="49"/>
      <c r="H28" s="49"/>
      <c r="I28" s="49"/>
      <c r="J28" s="49"/>
      <c r="K28" s="49"/>
      <c r="L28" s="49"/>
      <c r="M28" s="50"/>
      <c r="N28" s="142" t="s">
        <v>127</v>
      </c>
      <c r="O28" s="52"/>
      <c r="P28" s="41"/>
      <c r="Q28" s="41"/>
      <c r="R28" s="41"/>
      <c r="S28" s="41"/>
      <c r="T28" s="41"/>
      <c r="U28" s="41"/>
      <c r="V28" s="41"/>
      <c r="W28" s="41"/>
      <c r="X28" s="41"/>
      <c r="Y28" s="41"/>
      <c r="Z28" s="41"/>
    </row>
    <row r="29" ht="15.0" customHeight="1">
      <c r="A29" s="143" t="s">
        <v>267</v>
      </c>
      <c r="B29" s="54"/>
      <c r="C29" s="54"/>
      <c r="D29" s="54"/>
      <c r="E29" s="54"/>
      <c r="F29" s="54"/>
      <c r="G29" s="54"/>
      <c r="H29" s="54"/>
      <c r="I29" s="54"/>
      <c r="J29" s="54"/>
      <c r="K29" s="54"/>
      <c r="L29" s="54"/>
      <c r="M29" s="55"/>
      <c r="N29" s="144">
        <v>45658.0</v>
      </c>
      <c r="O29" s="59"/>
      <c r="P29" s="41"/>
      <c r="Q29" s="41"/>
      <c r="R29" s="41"/>
      <c r="S29" s="41"/>
      <c r="T29" s="41"/>
      <c r="U29" s="41"/>
      <c r="V29" s="41"/>
      <c r="W29" s="41"/>
      <c r="X29" s="41"/>
      <c r="Y29" s="41"/>
      <c r="Z29" s="41"/>
    </row>
    <row r="30" ht="15.0" customHeight="1">
      <c r="A30" s="143" t="s">
        <v>268</v>
      </c>
      <c r="B30" s="54"/>
      <c r="C30" s="54"/>
      <c r="D30" s="54"/>
      <c r="E30" s="54"/>
      <c r="F30" s="54"/>
      <c r="G30" s="54"/>
      <c r="H30" s="54"/>
      <c r="I30" s="54"/>
      <c r="J30" s="54"/>
      <c r="K30" s="54"/>
      <c r="L30" s="54"/>
      <c r="M30" s="55"/>
      <c r="N30" s="144">
        <v>45689.0</v>
      </c>
      <c r="O30" s="59"/>
      <c r="P30" s="41"/>
      <c r="Q30" s="41"/>
      <c r="R30" s="41"/>
      <c r="S30" s="41"/>
      <c r="T30" s="41"/>
      <c r="U30" s="41"/>
      <c r="V30" s="41"/>
      <c r="W30" s="41"/>
      <c r="X30" s="41"/>
      <c r="Y30" s="41"/>
      <c r="Z30" s="41"/>
    </row>
    <row r="31" ht="15.0" customHeight="1">
      <c r="A31" s="143" t="s">
        <v>269</v>
      </c>
      <c r="B31" s="54"/>
      <c r="C31" s="54"/>
      <c r="D31" s="54"/>
      <c r="E31" s="54"/>
      <c r="F31" s="54"/>
      <c r="G31" s="54"/>
      <c r="H31" s="54"/>
      <c r="I31" s="54"/>
      <c r="J31" s="54"/>
      <c r="K31" s="54"/>
      <c r="L31" s="54"/>
      <c r="M31" s="55"/>
      <c r="N31" s="144">
        <v>45717.0</v>
      </c>
      <c r="O31" s="59"/>
      <c r="P31" s="41"/>
      <c r="Q31" s="41"/>
      <c r="R31" s="41"/>
      <c r="S31" s="41"/>
      <c r="T31" s="41"/>
      <c r="U31" s="41"/>
      <c r="V31" s="41"/>
      <c r="W31" s="41"/>
      <c r="X31" s="41"/>
      <c r="Y31" s="41"/>
      <c r="Z31" s="41"/>
    </row>
    <row r="32" ht="15.0" customHeight="1">
      <c r="A32" s="143" t="s">
        <v>270</v>
      </c>
      <c r="B32" s="54"/>
      <c r="C32" s="54"/>
      <c r="D32" s="54"/>
      <c r="E32" s="54"/>
      <c r="F32" s="54"/>
      <c r="G32" s="54"/>
      <c r="H32" s="54"/>
      <c r="I32" s="54"/>
      <c r="J32" s="54"/>
      <c r="K32" s="54"/>
      <c r="L32" s="54"/>
      <c r="M32" s="55"/>
      <c r="N32" s="144">
        <v>45748.0</v>
      </c>
      <c r="O32" s="59"/>
      <c r="P32" s="41"/>
      <c r="Q32" s="41"/>
      <c r="R32" s="41"/>
      <c r="S32" s="41"/>
      <c r="T32" s="41"/>
      <c r="U32" s="41"/>
      <c r="V32" s="41"/>
      <c r="W32" s="41"/>
      <c r="X32" s="41"/>
      <c r="Y32" s="41"/>
      <c r="Z32" s="41"/>
    </row>
    <row r="33" ht="15.0" customHeight="1">
      <c r="A33" s="143" t="s">
        <v>271</v>
      </c>
      <c r="B33" s="54"/>
      <c r="C33" s="54"/>
      <c r="D33" s="54"/>
      <c r="E33" s="54"/>
      <c r="F33" s="54"/>
      <c r="G33" s="54"/>
      <c r="H33" s="54"/>
      <c r="I33" s="54"/>
      <c r="J33" s="54"/>
      <c r="K33" s="54"/>
      <c r="L33" s="54"/>
      <c r="M33" s="55"/>
      <c r="N33" s="144">
        <v>45778.0</v>
      </c>
      <c r="O33" s="59"/>
      <c r="P33" s="41"/>
      <c r="Q33" s="41"/>
      <c r="R33" s="41"/>
      <c r="S33" s="41"/>
      <c r="T33" s="41"/>
      <c r="U33" s="41"/>
      <c r="V33" s="41"/>
      <c r="W33" s="41"/>
      <c r="X33" s="41"/>
      <c r="Y33" s="41"/>
      <c r="Z33" s="41"/>
    </row>
    <row r="34" ht="15.0" customHeight="1">
      <c r="A34" s="143" t="s">
        <v>272</v>
      </c>
      <c r="B34" s="54"/>
      <c r="C34" s="54"/>
      <c r="D34" s="54"/>
      <c r="E34" s="54"/>
      <c r="F34" s="54"/>
      <c r="G34" s="54"/>
      <c r="H34" s="54"/>
      <c r="I34" s="54"/>
      <c r="J34" s="54"/>
      <c r="K34" s="54"/>
      <c r="L34" s="54"/>
      <c r="M34" s="55"/>
      <c r="N34" s="144">
        <v>45809.0</v>
      </c>
      <c r="O34" s="59"/>
      <c r="P34" s="41"/>
      <c r="Q34" s="41"/>
      <c r="R34" s="41"/>
      <c r="S34" s="41"/>
      <c r="T34" s="41"/>
      <c r="U34" s="41"/>
      <c r="V34" s="41"/>
      <c r="W34" s="41"/>
      <c r="X34" s="41"/>
      <c r="Y34" s="41"/>
      <c r="Z34" s="41"/>
    </row>
    <row r="35" ht="15.0" customHeight="1">
      <c r="A35" s="143" t="s">
        <v>273</v>
      </c>
      <c r="B35" s="54"/>
      <c r="C35" s="54"/>
      <c r="D35" s="54"/>
      <c r="E35" s="54"/>
      <c r="F35" s="54"/>
      <c r="G35" s="54"/>
      <c r="H35" s="54"/>
      <c r="I35" s="54"/>
      <c r="J35" s="54"/>
      <c r="K35" s="54"/>
      <c r="L35" s="54"/>
      <c r="M35" s="55"/>
      <c r="N35" s="144">
        <v>45839.0</v>
      </c>
      <c r="O35" s="59"/>
      <c r="P35" s="41"/>
      <c r="Q35" s="41"/>
      <c r="R35" s="41"/>
      <c r="S35" s="41"/>
      <c r="T35" s="41"/>
      <c r="U35" s="41"/>
      <c r="V35" s="41"/>
      <c r="W35" s="41"/>
      <c r="X35" s="41"/>
      <c r="Y35" s="41"/>
      <c r="Z35" s="41"/>
    </row>
    <row r="36" ht="15.0" customHeight="1">
      <c r="A36" s="143" t="s">
        <v>274</v>
      </c>
      <c r="B36" s="54"/>
      <c r="C36" s="54"/>
      <c r="D36" s="54"/>
      <c r="E36" s="54"/>
      <c r="F36" s="54"/>
      <c r="G36" s="54"/>
      <c r="H36" s="54"/>
      <c r="I36" s="54"/>
      <c r="J36" s="54"/>
      <c r="K36" s="54"/>
      <c r="L36" s="54"/>
      <c r="M36" s="55"/>
      <c r="N36" s="144">
        <v>45870.0</v>
      </c>
      <c r="O36" s="59"/>
      <c r="P36" s="41"/>
      <c r="Q36" s="41"/>
      <c r="R36" s="41"/>
      <c r="S36" s="41"/>
      <c r="T36" s="41"/>
      <c r="U36" s="41"/>
      <c r="V36" s="41"/>
      <c r="W36" s="41"/>
      <c r="X36" s="41"/>
      <c r="Y36" s="41"/>
      <c r="Z36" s="41"/>
    </row>
    <row r="37" ht="15.0" customHeight="1">
      <c r="A37" s="143" t="s">
        <v>275</v>
      </c>
      <c r="B37" s="54"/>
      <c r="C37" s="54"/>
      <c r="D37" s="54"/>
      <c r="E37" s="54"/>
      <c r="F37" s="54"/>
      <c r="G37" s="54"/>
      <c r="H37" s="54"/>
      <c r="I37" s="54"/>
      <c r="J37" s="54"/>
      <c r="K37" s="54"/>
      <c r="L37" s="54"/>
      <c r="M37" s="55"/>
      <c r="N37" s="144">
        <v>45901.0</v>
      </c>
      <c r="O37" s="59"/>
      <c r="P37" s="41"/>
      <c r="Q37" s="41"/>
      <c r="R37" s="41"/>
      <c r="S37" s="41"/>
      <c r="T37" s="41"/>
      <c r="U37" s="41"/>
      <c r="V37" s="41"/>
      <c r="W37" s="41"/>
      <c r="X37" s="41"/>
      <c r="Y37" s="41"/>
      <c r="Z37" s="41"/>
    </row>
    <row r="38" ht="15.0" customHeight="1">
      <c r="A38" s="143" t="s">
        <v>276</v>
      </c>
      <c r="B38" s="54"/>
      <c r="C38" s="54"/>
      <c r="D38" s="54"/>
      <c r="E38" s="54"/>
      <c r="F38" s="54"/>
      <c r="G38" s="54"/>
      <c r="H38" s="54"/>
      <c r="I38" s="54"/>
      <c r="J38" s="54"/>
      <c r="K38" s="54"/>
      <c r="L38" s="54"/>
      <c r="M38" s="55"/>
      <c r="N38" s="144">
        <v>45931.0</v>
      </c>
      <c r="O38" s="59"/>
      <c r="P38" s="41"/>
      <c r="Q38" s="41"/>
      <c r="R38" s="41"/>
      <c r="S38" s="41"/>
      <c r="T38" s="41"/>
      <c r="U38" s="41"/>
      <c r="V38" s="41"/>
      <c r="W38" s="41"/>
      <c r="X38" s="41"/>
      <c r="Y38" s="41"/>
      <c r="Z38" s="41"/>
    </row>
    <row r="39" ht="15.0" customHeight="1">
      <c r="A39" s="143" t="s">
        <v>277</v>
      </c>
      <c r="B39" s="54"/>
      <c r="C39" s="54"/>
      <c r="D39" s="54"/>
      <c r="E39" s="54"/>
      <c r="F39" s="54"/>
      <c r="G39" s="54"/>
      <c r="H39" s="54"/>
      <c r="I39" s="54"/>
      <c r="J39" s="54"/>
      <c r="K39" s="54"/>
      <c r="L39" s="54"/>
      <c r="M39" s="55"/>
      <c r="N39" s="144">
        <v>45962.0</v>
      </c>
      <c r="O39" s="59"/>
      <c r="P39" s="41"/>
      <c r="Q39" s="41"/>
      <c r="R39" s="41"/>
      <c r="S39" s="41"/>
      <c r="T39" s="41"/>
      <c r="U39" s="41"/>
      <c r="V39" s="41"/>
      <c r="W39" s="41"/>
      <c r="X39" s="41"/>
      <c r="Y39" s="41"/>
      <c r="Z39" s="41"/>
    </row>
    <row r="40" ht="15.0" customHeight="1">
      <c r="A40" s="143" t="s">
        <v>276</v>
      </c>
      <c r="B40" s="54"/>
      <c r="C40" s="54"/>
      <c r="D40" s="54"/>
      <c r="E40" s="54"/>
      <c r="F40" s="54"/>
      <c r="G40" s="54"/>
      <c r="H40" s="54"/>
      <c r="I40" s="54"/>
      <c r="J40" s="54"/>
      <c r="K40" s="54"/>
      <c r="L40" s="54"/>
      <c r="M40" s="55"/>
      <c r="N40" s="144">
        <v>45992.0</v>
      </c>
      <c r="O40" s="59"/>
      <c r="P40" s="41"/>
      <c r="Q40" s="41"/>
      <c r="R40" s="41"/>
      <c r="S40" s="41"/>
      <c r="T40" s="41"/>
      <c r="U40" s="41"/>
      <c r="V40" s="41"/>
      <c r="W40" s="41"/>
      <c r="X40" s="41"/>
      <c r="Y40" s="41"/>
      <c r="Z40" s="41"/>
    </row>
    <row r="41" ht="25.5" customHeight="1">
      <c r="A41" s="140" t="s">
        <v>278</v>
      </c>
      <c r="B41" s="49"/>
      <c r="C41" s="49"/>
      <c r="D41" s="49"/>
      <c r="E41" s="49"/>
      <c r="F41" s="49"/>
      <c r="G41" s="49"/>
      <c r="H41" s="49"/>
      <c r="I41" s="49"/>
      <c r="J41" s="49"/>
      <c r="K41" s="49"/>
      <c r="L41" s="49"/>
      <c r="M41" s="50"/>
      <c r="N41" s="142" t="s">
        <v>127</v>
      </c>
      <c r="O41" s="52"/>
      <c r="P41" s="41"/>
      <c r="Q41" s="41"/>
      <c r="R41" s="41"/>
      <c r="S41" s="41"/>
      <c r="T41" s="41"/>
      <c r="U41" s="41"/>
      <c r="V41" s="41"/>
      <c r="W41" s="41"/>
      <c r="X41" s="41"/>
      <c r="Y41" s="41"/>
      <c r="Z41" s="41"/>
    </row>
    <row r="42" ht="12.75" customHeight="1">
      <c r="A42" s="143" t="s">
        <v>279</v>
      </c>
      <c r="B42" s="54"/>
      <c r="C42" s="54"/>
      <c r="D42" s="54"/>
      <c r="E42" s="54"/>
      <c r="F42" s="54"/>
      <c r="G42" s="54"/>
      <c r="H42" s="54"/>
      <c r="I42" s="54"/>
      <c r="J42" s="54"/>
      <c r="K42" s="54"/>
      <c r="L42" s="54"/>
      <c r="M42" s="55"/>
      <c r="N42" s="146" t="s">
        <v>107</v>
      </c>
      <c r="O42" s="59"/>
      <c r="P42" s="41"/>
      <c r="Q42" s="41"/>
      <c r="R42" s="41"/>
      <c r="S42" s="41"/>
      <c r="T42" s="41"/>
      <c r="U42" s="41"/>
      <c r="V42" s="41"/>
      <c r="W42" s="41"/>
      <c r="X42" s="41"/>
      <c r="Y42" s="41"/>
      <c r="Z42" s="41"/>
    </row>
    <row r="43" ht="12.75" customHeight="1">
      <c r="A43" s="155"/>
      <c r="B43" s="63"/>
      <c r="C43" s="63"/>
      <c r="D43" s="63"/>
      <c r="E43" s="63"/>
      <c r="F43" s="63"/>
      <c r="G43" s="63"/>
      <c r="H43" s="63"/>
      <c r="I43" s="63"/>
      <c r="J43" s="63"/>
      <c r="K43" s="63"/>
      <c r="L43" s="63"/>
      <c r="M43" s="64"/>
      <c r="N43" s="156"/>
      <c r="O43" s="67"/>
      <c r="P43" s="41"/>
      <c r="Q43" s="41"/>
      <c r="R43" s="41"/>
      <c r="S43" s="41"/>
      <c r="T43" s="41"/>
      <c r="U43" s="41"/>
      <c r="V43" s="41"/>
      <c r="W43" s="41"/>
      <c r="X43" s="41"/>
      <c r="Y43" s="41"/>
      <c r="Z43" s="41"/>
    </row>
    <row r="44" ht="3.75" customHeight="1">
      <c r="A44" s="148"/>
      <c r="B44" s="88"/>
      <c r="C44" s="88"/>
      <c r="D44" s="88"/>
      <c r="E44" s="88"/>
      <c r="F44" s="88"/>
      <c r="G44" s="88"/>
      <c r="H44" s="88"/>
      <c r="I44" s="88"/>
      <c r="J44" s="88"/>
      <c r="K44" s="88"/>
      <c r="L44" s="88"/>
      <c r="M44" s="88"/>
      <c r="N44" s="88"/>
      <c r="O44" s="149"/>
      <c r="P44" s="41"/>
      <c r="Q44" s="41"/>
      <c r="R44" s="41"/>
      <c r="S44" s="41"/>
      <c r="T44" s="41"/>
      <c r="U44" s="41"/>
      <c r="V44" s="41"/>
      <c r="W44" s="41"/>
      <c r="X44" s="41"/>
      <c r="Y44" s="41"/>
      <c r="Z44" s="41"/>
    </row>
    <row r="45" ht="12.75" customHeight="1">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row>
    <row r="46" ht="12.75" customHeight="1">
      <c r="A46" s="41"/>
      <c r="B46" s="41"/>
      <c r="C46" s="41"/>
      <c r="D46" s="41"/>
      <c r="E46" s="41"/>
      <c r="F46" s="41"/>
      <c r="G46" s="41"/>
      <c r="H46" s="41"/>
      <c r="I46" s="41"/>
      <c r="J46" s="41"/>
      <c r="K46" s="41"/>
      <c r="L46" s="41"/>
      <c r="M46" s="41"/>
      <c r="N46" s="41"/>
      <c r="O46" s="41"/>
      <c r="P46" s="41"/>
      <c r="Q46" s="150" t="s">
        <v>187</v>
      </c>
      <c r="R46" s="41"/>
      <c r="S46" s="41"/>
      <c r="T46" s="41"/>
      <c r="U46" s="41"/>
      <c r="V46" s="41"/>
      <c r="W46" s="41"/>
      <c r="X46" s="41"/>
      <c r="Y46" s="41"/>
      <c r="Z46" s="41"/>
    </row>
    <row r="47" ht="12.75" customHeight="1">
      <c r="A47" s="41"/>
      <c r="B47" s="41"/>
      <c r="C47" s="41"/>
      <c r="D47" s="41"/>
      <c r="E47" s="41"/>
      <c r="F47" s="41"/>
      <c r="G47" s="41"/>
      <c r="H47" s="41"/>
      <c r="I47" s="41"/>
      <c r="J47" s="41"/>
      <c r="K47" s="41"/>
      <c r="L47" s="41"/>
      <c r="M47" s="41"/>
      <c r="N47" s="41"/>
      <c r="O47" s="41"/>
      <c r="P47" s="41"/>
      <c r="Q47" s="150" t="s">
        <v>188</v>
      </c>
      <c r="R47" s="41"/>
      <c r="S47" s="41"/>
      <c r="T47" s="41"/>
      <c r="U47" s="41"/>
      <c r="V47" s="41"/>
      <c r="W47" s="41"/>
      <c r="X47" s="41"/>
      <c r="Y47" s="41"/>
      <c r="Z47" s="41"/>
    </row>
    <row r="48" ht="12.75" customHeight="1">
      <c r="A48" s="41"/>
      <c r="B48" s="41"/>
      <c r="C48" s="41"/>
      <c r="D48" s="41"/>
      <c r="E48" s="41"/>
      <c r="F48" s="41"/>
      <c r="G48" s="41"/>
      <c r="H48" s="41"/>
      <c r="I48" s="41"/>
      <c r="J48" s="41"/>
      <c r="K48" s="41"/>
      <c r="L48" s="41"/>
      <c r="M48" s="41"/>
      <c r="N48" s="41"/>
      <c r="O48" s="41"/>
      <c r="P48" s="41"/>
      <c r="Q48" s="150" t="s">
        <v>189</v>
      </c>
      <c r="R48" s="41"/>
      <c r="S48" s="41"/>
      <c r="T48" s="41"/>
      <c r="U48" s="41"/>
      <c r="V48" s="41"/>
      <c r="W48" s="41"/>
      <c r="X48" s="41"/>
      <c r="Y48" s="41"/>
      <c r="Z48" s="41"/>
    </row>
    <row r="49" ht="12.75" customHeight="1">
      <c r="A49" s="41"/>
      <c r="B49" s="41"/>
      <c r="C49" s="41"/>
      <c r="D49" s="41"/>
      <c r="E49" s="41"/>
      <c r="F49" s="41"/>
      <c r="G49" s="41"/>
      <c r="H49" s="41"/>
      <c r="I49" s="41"/>
      <c r="J49" s="41"/>
      <c r="K49" s="41"/>
      <c r="L49" s="41"/>
      <c r="M49" s="41"/>
      <c r="N49" s="41"/>
      <c r="O49" s="41"/>
      <c r="P49" s="41"/>
      <c r="Q49" s="150" t="s">
        <v>190</v>
      </c>
      <c r="R49" s="41"/>
      <c r="S49" s="41"/>
      <c r="T49" s="41"/>
      <c r="U49" s="41"/>
      <c r="V49" s="41"/>
      <c r="W49" s="41"/>
      <c r="X49" s="41"/>
      <c r="Y49" s="41"/>
      <c r="Z49" s="41"/>
    </row>
    <row r="50" ht="12.75" customHeight="1">
      <c r="A50" s="41"/>
      <c r="B50" s="41"/>
      <c r="C50" s="41"/>
      <c r="D50" s="41"/>
      <c r="E50" s="41"/>
      <c r="F50" s="41"/>
      <c r="G50" s="41"/>
      <c r="H50" s="41"/>
      <c r="I50" s="41"/>
      <c r="J50" s="41"/>
      <c r="K50" s="41"/>
      <c r="L50" s="41"/>
      <c r="M50" s="41"/>
      <c r="N50" s="41"/>
      <c r="O50" s="41"/>
      <c r="P50" s="41"/>
      <c r="Q50" s="150" t="s">
        <v>191</v>
      </c>
      <c r="R50" s="41"/>
      <c r="S50" s="41"/>
      <c r="T50" s="41"/>
      <c r="U50" s="41"/>
      <c r="V50" s="41"/>
      <c r="W50" s="41"/>
      <c r="X50" s="41"/>
      <c r="Y50" s="41"/>
      <c r="Z50" s="41"/>
    </row>
    <row r="51" ht="12.75" customHeight="1">
      <c r="A51" s="41"/>
      <c r="B51" s="41"/>
      <c r="C51" s="41"/>
      <c r="D51" s="41"/>
      <c r="E51" s="41"/>
      <c r="F51" s="41"/>
      <c r="G51" s="41"/>
      <c r="H51" s="41"/>
      <c r="I51" s="41"/>
      <c r="J51" s="41"/>
      <c r="K51" s="41"/>
      <c r="L51" s="41"/>
      <c r="M51" s="41"/>
      <c r="N51" s="41"/>
      <c r="O51" s="41"/>
      <c r="P51" s="41"/>
      <c r="Q51" s="150" t="s">
        <v>192</v>
      </c>
      <c r="R51" s="41"/>
      <c r="S51" s="41"/>
      <c r="T51" s="41"/>
      <c r="U51" s="41"/>
      <c r="V51" s="41"/>
      <c r="W51" s="41"/>
      <c r="X51" s="41"/>
      <c r="Y51" s="41"/>
      <c r="Z51" s="41"/>
    </row>
    <row r="52" ht="12.75" customHeight="1">
      <c r="A52" s="41"/>
      <c r="B52" s="41"/>
      <c r="C52" s="41"/>
      <c r="D52" s="41"/>
      <c r="E52" s="41"/>
      <c r="F52" s="41"/>
      <c r="G52" s="41"/>
      <c r="H52" s="41"/>
      <c r="I52" s="41"/>
      <c r="J52" s="41"/>
      <c r="K52" s="41"/>
      <c r="L52" s="41"/>
      <c r="M52" s="41"/>
      <c r="N52" s="41"/>
      <c r="O52" s="41"/>
      <c r="P52" s="41"/>
      <c r="Q52" s="150" t="s">
        <v>196</v>
      </c>
      <c r="R52" s="41"/>
      <c r="S52" s="41"/>
      <c r="T52" s="41"/>
      <c r="U52" s="41"/>
      <c r="V52" s="41"/>
      <c r="W52" s="41"/>
      <c r="X52" s="41"/>
      <c r="Y52" s="41"/>
      <c r="Z52" s="41"/>
    </row>
    <row r="53" ht="12.75" customHeight="1">
      <c r="A53" s="41"/>
      <c r="B53" s="41"/>
      <c r="C53" s="41"/>
      <c r="D53" s="41"/>
      <c r="E53" s="41"/>
      <c r="F53" s="41"/>
      <c r="G53" s="41"/>
      <c r="H53" s="41"/>
      <c r="I53" s="41"/>
      <c r="J53" s="41"/>
      <c r="K53" s="41"/>
      <c r="L53" s="41"/>
      <c r="M53" s="41"/>
      <c r="N53" s="41"/>
      <c r="O53" s="41"/>
      <c r="P53" s="41"/>
      <c r="Q53" s="150" t="s">
        <v>206</v>
      </c>
      <c r="R53" s="41"/>
      <c r="S53" s="41"/>
      <c r="T53" s="41"/>
      <c r="U53" s="41"/>
      <c r="V53" s="41"/>
      <c r="W53" s="41"/>
      <c r="X53" s="41"/>
      <c r="Y53" s="41"/>
      <c r="Z53" s="41"/>
    </row>
    <row r="54" ht="12.75" customHeight="1">
      <c r="A54" s="41"/>
      <c r="B54" s="41"/>
      <c r="C54" s="41"/>
      <c r="D54" s="41"/>
      <c r="E54" s="41"/>
      <c r="F54" s="41"/>
      <c r="G54" s="41"/>
      <c r="H54" s="41"/>
      <c r="I54" s="41"/>
      <c r="J54" s="41"/>
      <c r="K54" s="41"/>
      <c r="L54" s="41"/>
      <c r="M54" s="41"/>
      <c r="N54" s="41"/>
      <c r="O54" s="41"/>
      <c r="P54" s="41"/>
      <c r="Q54" s="150" t="s">
        <v>72</v>
      </c>
      <c r="R54" s="41"/>
      <c r="S54" s="41"/>
      <c r="T54" s="41"/>
      <c r="U54" s="41"/>
      <c r="V54" s="41"/>
      <c r="W54" s="41"/>
      <c r="X54" s="41"/>
      <c r="Y54" s="41"/>
      <c r="Z54" s="41"/>
    </row>
    <row r="55" ht="12.75" customHeight="1">
      <c r="A55" s="41"/>
      <c r="B55" s="41"/>
      <c r="C55" s="41"/>
      <c r="D55" s="41"/>
      <c r="E55" s="41"/>
      <c r="F55" s="41"/>
      <c r="G55" s="41"/>
      <c r="H55" s="41"/>
      <c r="I55" s="41"/>
      <c r="J55" s="41"/>
      <c r="K55" s="41"/>
      <c r="L55" s="41"/>
      <c r="M55" s="41"/>
      <c r="N55" s="41"/>
      <c r="O55" s="41"/>
      <c r="P55" s="41"/>
      <c r="Q55" s="150" t="s">
        <v>213</v>
      </c>
      <c r="R55" s="41"/>
      <c r="S55" s="41"/>
      <c r="T55" s="41"/>
      <c r="U55" s="41"/>
      <c r="V55" s="41"/>
      <c r="W55" s="41"/>
      <c r="X55" s="41"/>
      <c r="Y55" s="41"/>
      <c r="Z55" s="41"/>
    </row>
    <row r="56" ht="12.75" customHeight="1">
      <c r="A56" s="41"/>
      <c r="B56" s="41"/>
      <c r="C56" s="41"/>
      <c r="D56" s="41"/>
      <c r="E56" s="41"/>
      <c r="F56" s="41"/>
      <c r="G56" s="41"/>
      <c r="H56" s="41"/>
      <c r="I56" s="41"/>
      <c r="J56" s="41"/>
      <c r="K56" s="41"/>
      <c r="L56" s="41"/>
      <c r="M56" s="41"/>
      <c r="N56" s="41"/>
      <c r="O56" s="41"/>
      <c r="P56" s="41"/>
      <c r="Q56" s="150" t="s">
        <v>215</v>
      </c>
      <c r="R56" s="41"/>
      <c r="S56" s="41"/>
      <c r="T56" s="41"/>
      <c r="U56" s="41"/>
      <c r="V56" s="41"/>
      <c r="W56" s="41"/>
      <c r="X56" s="41"/>
      <c r="Y56" s="41"/>
      <c r="Z56" s="41"/>
    </row>
    <row r="57" ht="12.75" customHeight="1">
      <c r="A57" s="41"/>
      <c r="B57" s="41"/>
      <c r="C57" s="41"/>
      <c r="D57" s="41"/>
      <c r="E57" s="41"/>
      <c r="F57" s="41"/>
      <c r="G57" s="41"/>
      <c r="H57" s="41"/>
      <c r="I57" s="41"/>
      <c r="J57" s="41"/>
      <c r="K57" s="41"/>
      <c r="L57" s="41"/>
      <c r="M57" s="41"/>
      <c r="N57" s="41"/>
      <c r="O57" s="41"/>
      <c r="P57" s="41"/>
      <c r="Q57" s="150" t="s">
        <v>217</v>
      </c>
      <c r="R57" s="41"/>
      <c r="S57" s="41"/>
      <c r="T57" s="41"/>
      <c r="U57" s="41"/>
      <c r="V57" s="41"/>
      <c r="W57" s="41"/>
      <c r="X57" s="41"/>
      <c r="Y57" s="41"/>
      <c r="Z57" s="41"/>
    </row>
    <row r="58" ht="12.75" customHeight="1">
      <c r="A58" s="41"/>
      <c r="B58" s="41"/>
      <c r="C58" s="41"/>
      <c r="D58" s="41"/>
      <c r="E58" s="41"/>
      <c r="F58" s="41"/>
      <c r="G58" s="41"/>
      <c r="H58" s="41"/>
      <c r="I58" s="41"/>
      <c r="J58" s="41"/>
      <c r="K58" s="41"/>
      <c r="L58" s="41"/>
      <c r="M58" s="41"/>
      <c r="N58" s="41"/>
      <c r="O58" s="41"/>
      <c r="P58" s="41"/>
      <c r="Q58" s="150" t="s">
        <v>218</v>
      </c>
      <c r="R58" s="41"/>
      <c r="S58" s="41"/>
      <c r="T58" s="41"/>
      <c r="U58" s="41"/>
      <c r="V58" s="41"/>
      <c r="W58" s="41"/>
      <c r="X58" s="41"/>
      <c r="Y58" s="41"/>
      <c r="Z58" s="41"/>
    </row>
    <row r="59" ht="12.75" customHeight="1">
      <c r="A59" s="41"/>
      <c r="B59" s="41"/>
      <c r="C59" s="41"/>
      <c r="D59" s="41"/>
      <c r="E59" s="41"/>
      <c r="F59" s="41"/>
      <c r="G59" s="41"/>
      <c r="H59" s="41"/>
      <c r="I59" s="41"/>
      <c r="J59" s="41"/>
      <c r="K59" s="41"/>
      <c r="L59" s="41"/>
      <c r="M59" s="41"/>
      <c r="N59" s="41"/>
      <c r="O59" s="41"/>
      <c r="P59" s="41"/>
      <c r="Q59" s="41"/>
      <c r="R59" s="41"/>
      <c r="S59" s="41"/>
      <c r="T59" s="41"/>
      <c r="U59" s="41"/>
      <c r="V59" s="41"/>
      <c r="W59" s="41"/>
      <c r="X59" s="41"/>
      <c r="Y59" s="41"/>
      <c r="Z59" s="41"/>
    </row>
    <row r="60" ht="12.75" customHeight="1">
      <c r="A60" s="41"/>
      <c r="B60" s="41"/>
      <c r="C60" s="41"/>
      <c r="D60" s="41"/>
      <c r="E60" s="41"/>
      <c r="F60" s="41"/>
      <c r="G60" s="41"/>
      <c r="H60" s="41"/>
      <c r="I60" s="41"/>
      <c r="J60" s="41"/>
      <c r="K60" s="41"/>
      <c r="L60" s="41"/>
      <c r="M60" s="41"/>
      <c r="N60" s="41"/>
      <c r="O60" s="41"/>
      <c r="P60" s="41"/>
      <c r="Q60" s="179">
        <v>0.88</v>
      </c>
      <c r="R60" s="41"/>
      <c r="S60" s="41"/>
      <c r="T60" s="41"/>
      <c r="U60" s="41"/>
      <c r="V60" s="41"/>
      <c r="W60" s="41"/>
      <c r="X60" s="41"/>
      <c r="Y60" s="41"/>
      <c r="Z60" s="41"/>
    </row>
    <row r="61" ht="12.75" customHeight="1">
      <c r="A61" s="41"/>
      <c r="B61" s="41"/>
      <c r="C61" s="41"/>
      <c r="D61" s="41"/>
      <c r="E61" s="41"/>
      <c r="F61" s="41"/>
      <c r="G61" s="41"/>
      <c r="H61" s="41"/>
      <c r="I61" s="41"/>
      <c r="J61" s="41"/>
      <c r="K61" s="41"/>
      <c r="L61" s="41"/>
      <c r="M61" s="41"/>
      <c r="N61" s="41"/>
      <c r="O61" s="41"/>
      <c r="P61" s="41"/>
      <c r="Q61" s="179">
        <v>0.9</v>
      </c>
      <c r="R61" s="41"/>
      <c r="S61" s="41"/>
      <c r="T61" s="41"/>
      <c r="U61" s="41"/>
      <c r="V61" s="41"/>
      <c r="W61" s="41"/>
      <c r="X61" s="41"/>
      <c r="Y61" s="41"/>
      <c r="Z61" s="41"/>
    </row>
    <row r="62" ht="12.75" customHeight="1">
      <c r="A62" s="41"/>
      <c r="B62" s="41"/>
      <c r="C62" s="41"/>
      <c r="D62" s="41"/>
      <c r="E62" s="41"/>
      <c r="F62" s="41"/>
      <c r="G62" s="41"/>
      <c r="H62" s="41"/>
      <c r="I62" s="41"/>
      <c r="J62" s="41"/>
      <c r="K62" s="41"/>
      <c r="L62" s="41"/>
      <c r="M62" s="41"/>
      <c r="N62" s="41"/>
      <c r="O62" s="41"/>
      <c r="P62" s="41"/>
      <c r="Q62" s="41"/>
      <c r="R62" s="41"/>
      <c r="S62" s="41"/>
      <c r="T62" s="41"/>
      <c r="U62" s="41"/>
      <c r="V62" s="41"/>
      <c r="W62" s="41"/>
      <c r="X62" s="41"/>
      <c r="Y62" s="41"/>
      <c r="Z62" s="41"/>
    </row>
    <row r="63" ht="12.75" customHeight="1">
      <c r="A63" s="41"/>
      <c r="B63" s="41"/>
      <c r="C63" s="41"/>
      <c r="D63" s="41"/>
      <c r="E63" s="41"/>
      <c r="F63" s="41"/>
      <c r="G63" s="41"/>
      <c r="H63" s="41"/>
      <c r="I63" s="41"/>
      <c r="J63" s="41"/>
      <c r="K63" s="41"/>
      <c r="L63" s="41"/>
      <c r="M63" s="41"/>
      <c r="N63" s="41"/>
      <c r="O63" s="41"/>
      <c r="P63" s="41"/>
      <c r="Q63" s="41"/>
      <c r="R63" s="41"/>
      <c r="S63" s="41"/>
      <c r="T63" s="41"/>
      <c r="U63" s="41"/>
      <c r="V63" s="41"/>
      <c r="W63" s="41"/>
      <c r="X63" s="41"/>
      <c r="Y63" s="41"/>
      <c r="Z63" s="41"/>
    </row>
    <row r="64" ht="12.75" customHeight="1">
      <c r="A64" s="41"/>
      <c r="B64" s="41"/>
      <c r="C64" s="41"/>
      <c r="D64" s="41"/>
      <c r="E64" s="41"/>
      <c r="F64" s="41"/>
      <c r="G64" s="41"/>
      <c r="H64" s="41"/>
      <c r="I64" s="41"/>
      <c r="J64" s="41"/>
      <c r="K64" s="41"/>
      <c r="L64" s="41"/>
      <c r="M64" s="41"/>
      <c r="N64" s="41"/>
      <c r="O64" s="41"/>
      <c r="P64" s="41"/>
      <c r="Q64" s="41"/>
      <c r="R64" s="41"/>
      <c r="S64" s="41"/>
      <c r="T64" s="41"/>
      <c r="U64" s="41"/>
      <c r="V64" s="41"/>
      <c r="W64" s="41"/>
      <c r="X64" s="41"/>
      <c r="Y64" s="41"/>
      <c r="Z64" s="41"/>
    </row>
    <row r="65" ht="12.75" customHeight="1">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row>
    <row r="66" ht="12.75" customHeight="1">
      <c r="A66" s="41"/>
      <c r="B66" s="41"/>
      <c r="C66" s="41"/>
      <c r="D66" s="41"/>
      <c r="E66" s="41"/>
      <c r="F66" s="41"/>
      <c r="G66" s="41"/>
      <c r="H66" s="41"/>
      <c r="I66" s="41"/>
      <c r="J66" s="41"/>
      <c r="K66" s="41"/>
      <c r="L66" s="41"/>
      <c r="M66" s="41"/>
      <c r="N66" s="41"/>
      <c r="O66" s="41"/>
      <c r="P66" s="41"/>
      <c r="Q66" s="41"/>
      <c r="R66" s="41"/>
      <c r="S66" s="41"/>
      <c r="T66" s="41"/>
      <c r="U66" s="41"/>
      <c r="V66" s="41"/>
      <c r="W66" s="41"/>
      <c r="X66" s="41"/>
      <c r="Y66" s="41"/>
      <c r="Z66" s="41"/>
    </row>
    <row r="67" ht="12.75" customHeight="1">
      <c r="A67" s="41"/>
      <c r="B67" s="41"/>
      <c r="C67" s="41"/>
      <c r="D67" s="41"/>
      <c r="E67" s="41"/>
      <c r="F67" s="41"/>
      <c r="G67" s="41"/>
      <c r="H67" s="41"/>
      <c r="I67" s="41"/>
      <c r="J67" s="41"/>
      <c r="K67" s="41"/>
      <c r="L67" s="41"/>
      <c r="M67" s="41"/>
      <c r="N67" s="41"/>
      <c r="O67" s="41"/>
      <c r="P67" s="41"/>
      <c r="Q67" s="41"/>
      <c r="R67" s="41"/>
      <c r="S67" s="41"/>
      <c r="T67" s="41"/>
      <c r="U67" s="41"/>
      <c r="V67" s="41"/>
      <c r="W67" s="41"/>
      <c r="X67" s="41"/>
      <c r="Y67" s="41"/>
      <c r="Z67" s="41"/>
    </row>
    <row r="68" ht="12.75" customHeight="1">
      <c r="A68" s="41"/>
      <c r="B68" s="41"/>
      <c r="C68" s="41"/>
      <c r="D68" s="41"/>
      <c r="E68" s="41"/>
      <c r="F68" s="41"/>
      <c r="G68" s="41"/>
      <c r="H68" s="41"/>
      <c r="I68" s="41"/>
      <c r="J68" s="41"/>
      <c r="K68" s="41"/>
      <c r="L68" s="41"/>
      <c r="M68" s="41"/>
      <c r="N68" s="41"/>
      <c r="O68" s="41"/>
      <c r="P68" s="41"/>
      <c r="Q68" s="41"/>
      <c r="R68" s="41"/>
      <c r="S68" s="41"/>
      <c r="T68" s="41"/>
      <c r="U68" s="41"/>
      <c r="V68" s="41"/>
      <c r="W68" s="41"/>
      <c r="X68" s="41"/>
      <c r="Y68" s="41"/>
      <c r="Z68" s="41"/>
    </row>
    <row r="69" ht="12.75" customHeight="1">
      <c r="A69" s="41"/>
      <c r="B69" s="41"/>
      <c r="C69" s="41"/>
      <c r="D69" s="41"/>
      <c r="E69" s="41"/>
      <c r="F69" s="41"/>
      <c r="G69" s="41"/>
      <c r="H69" s="41"/>
      <c r="I69" s="41"/>
      <c r="J69" s="41"/>
      <c r="K69" s="41"/>
      <c r="L69" s="41"/>
      <c r="M69" s="41"/>
      <c r="N69" s="41"/>
      <c r="O69" s="41"/>
      <c r="P69" s="41"/>
      <c r="Q69" s="41"/>
      <c r="R69" s="41"/>
      <c r="S69" s="41"/>
      <c r="T69" s="41"/>
      <c r="U69" s="41"/>
      <c r="V69" s="41"/>
      <c r="W69" s="41"/>
      <c r="X69" s="41"/>
      <c r="Y69" s="41"/>
      <c r="Z69" s="41"/>
    </row>
    <row r="70" ht="12.75" customHeight="1">
      <c r="A70" s="41"/>
      <c r="B70" s="41"/>
      <c r="C70" s="41"/>
      <c r="D70" s="41"/>
      <c r="E70" s="41"/>
      <c r="F70" s="41"/>
      <c r="G70" s="41"/>
      <c r="H70" s="41"/>
      <c r="I70" s="41"/>
      <c r="J70" s="41"/>
      <c r="K70" s="41"/>
      <c r="L70" s="41"/>
      <c r="M70" s="41"/>
      <c r="N70" s="41"/>
      <c r="O70" s="41"/>
      <c r="P70" s="41"/>
      <c r="Q70" s="41"/>
      <c r="R70" s="41"/>
      <c r="S70" s="41"/>
      <c r="T70" s="41"/>
      <c r="U70" s="41"/>
      <c r="V70" s="41"/>
      <c r="W70" s="41"/>
      <c r="X70" s="41"/>
      <c r="Y70" s="41"/>
      <c r="Z70" s="41"/>
    </row>
    <row r="71" ht="12.75" customHeight="1">
      <c r="A71" s="41"/>
      <c r="B71" s="41"/>
      <c r="C71" s="41"/>
      <c r="D71" s="41"/>
      <c r="E71" s="41"/>
      <c r="F71" s="41"/>
      <c r="G71" s="41"/>
      <c r="H71" s="41"/>
      <c r="I71" s="41"/>
      <c r="J71" s="41"/>
      <c r="K71" s="41"/>
      <c r="L71" s="41"/>
      <c r="M71" s="41"/>
      <c r="N71" s="41"/>
      <c r="O71" s="41"/>
      <c r="P71" s="41"/>
      <c r="Q71" s="41"/>
      <c r="R71" s="41"/>
      <c r="S71" s="41"/>
      <c r="T71" s="41"/>
      <c r="U71" s="41"/>
      <c r="V71" s="41"/>
      <c r="W71" s="41"/>
      <c r="X71" s="41"/>
      <c r="Y71" s="41"/>
      <c r="Z71" s="41"/>
    </row>
    <row r="72" ht="12.75" customHeight="1">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row>
    <row r="73" ht="12.75" customHeight="1">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row>
    <row r="74" ht="12.75" customHeight="1">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row>
    <row r="75" ht="12.75" customHeight="1">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row>
    <row r="76" ht="12.75" customHeight="1">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row>
    <row r="77" ht="12.75" customHeight="1">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row>
    <row r="78" ht="12.75" customHeight="1">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row>
    <row r="79" ht="12.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row>
    <row r="80" ht="12.75" customHeight="1">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row>
    <row r="81" ht="12.75" customHeight="1">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row>
    <row r="82" ht="12.75" customHeight="1">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row>
    <row r="83" ht="12.75" customHeight="1">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row>
    <row r="84" ht="12.75" customHeight="1">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row>
    <row r="85" ht="12.75" customHeight="1">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row>
    <row r="86" ht="12.75" customHeight="1">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row>
    <row r="87" ht="12.75" customHeight="1">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row>
    <row r="88" ht="12.75" customHeight="1">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row>
    <row r="89" ht="12.75" customHeight="1">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row>
    <row r="90" ht="12.75" customHeight="1">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row>
    <row r="91" ht="12.75" customHeight="1">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row>
    <row r="92" ht="12.75" customHeight="1">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row>
    <row r="93" ht="12.75" customHeight="1">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row>
    <row r="94" ht="12.75" customHeight="1">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row>
    <row r="95" ht="12.75" customHeight="1">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row>
    <row r="96" ht="12.75" customHeight="1">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row>
    <row r="97" ht="12.75" customHeight="1">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row>
    <row r="98" ht="12.75" customHeight="1">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row>
    <row r="99" ht="12.75" customHeight="1">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row>
    <row r="100" ht="12.75" customHeight="1">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ht="12.75" customHeight="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ht="12.75" customHeight="1">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ht="12.75" customHeight="1">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ht="12.75" customHeight="1">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ht="12.75" customHeight="1">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ht="12.75" customHeight="1">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ht="12.75" customHeight="1">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ht="12.75" customHeight="1">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ht="12.75" customHeight="1">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ht="12.75" customHeight="1">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ht="12.75" customHeight="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ht="12.75" customHeight="1">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ht="12.75" customHeight="1">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ht="12.75" customHeight="1">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ht="12.75" customHeight="1">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ht="12.75" customHeight="1">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ht="12.75" customHeight="1">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ht="12.75" customHeight="1">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ht="12.75" customHeight="1">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ht="12.75" customHeight="1">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ht="12.75" customHeight="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ht="12.75" customHeight="1">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ht="12.75" customHeight="1">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ht="12.75" customHeight="1">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ht="12.75" customHeight="1">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ht="12.75" customHeight="1">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ht="12.75" customHeight="1">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ht="12.75" customHeight="1">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ht="12.7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ht="12.75" customHeight="1">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ht="12.7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ht="12.7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ht="12.75" customHeight="1">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ht="12.75" customHeight="1">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ht="12.75" customHeight="1">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ht="12.75" customHeight="1">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ht="12.75" customHeight="1">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ht="12.75" customHeight="1">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ht="12.75" customHeight="1">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ht="12.75" customHeight="1">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ht="12.75" customHeight="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ht="12.75" customHeight="1">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ht="12.75" customHeight="1">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ht="12.75" customHeight="1">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ht="12.75" customHeight="1">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ht="12.75" customHeight="1">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ht="12.75" customHeight="1">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ht="12.75" customHeight="1">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ht="12.75" customHeight="1">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ht="12.75" customHeight="1">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ht="12.75" customHeight="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ht="12.75" customHeight="1">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ht="12.75" customHeight="1">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ht="12.75" customHeight="1">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ht="12.75" customHeight="1">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ht="12.75" customHeight="1">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ht="12.75" customHeight="1">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ht="12.75" customHeight="1">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ht="12.75" customHeight="1">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ht="12.75"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ht="12.75" customHeight="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ht="12.75" customHeight="1">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ht="12.75" customHeight="1">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ht="12.75" customHeight="1">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ht="12.75" customHeight="1">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ht="12.75" customHeight="1">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ht="12.75" customHeight="1">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ht="12.75" customHeight="1">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ht="12.75" customHeight="1">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ht="12.75" customHeight="1">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ht="12.75" customHeight="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ht="12.75" customHeight="1">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ht="12.75" customHeight="1">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ht="12.75" customHeight="1">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ht="12.75" customHeight="1">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ht="12.75" customHeight="1">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ht="12.75" customHeight="1">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ht="12.75" customHeight="1">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ht="12.75" customHeight="1">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ht="12.75" customHeight="1">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ht="12.75" customHeight="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ht="12.75" customHeight="1">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ht="12.75" customHeight="1">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ht="12.75" customHeight="1">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ht="12.75" customHeight="1">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ht="12.75" customHeight="1">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ht="12.75" customHeight="1">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ht="12.75" customHeight="1">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ht="12.75" customHeight="1">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ht="12.75" customHeight="1">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ht="12.75" customHeight="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ht="12.75" customHeight="1">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ht="12.75" customHeight="1">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ht="12.75" customHeight="1">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ht="12.75" customHeight="1">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ht="12.75" customHeight="1">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ht="12.75" customHeight="1">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ht="12.75" customHeight="1">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ht="12.75" customHeight="1">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ht="12.75" customHeight="1">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ht="12.75" customHeight="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ht="12.75" customHeight="1">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ht="12.75" customHeight="1">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ht="12.75" customHeight="1">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ht="12.75" customHeight="1">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ht="12.75" customHeight="1">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ht="12.75" customHeight="1">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ht="12.75" customHeight="1">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ht="12.75" customHeight="1">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ht="12.75" customHeight="1">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ht="12.75" customHeight="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ht="12.75" customHeight="1">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ht="12.75" customHeight="1">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ht="12.75" customHeight="1">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ht="12.75" customHeight="1">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ht="12.75" customHeight="1">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ht="12.75" customHeight="1">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ht="12.75" customHeight="1">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ht="12.75" customHeight="1">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ht="12.75" customHeight="1">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ht="12.7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ht="12.7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ht="12.7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ht="12.7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ht="12.7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ht="12.7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ht="12.7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ht="12.7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ht="12.7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ht="12.7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ht="12.7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ht="12.7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ht="12.7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ht="12.7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ht="12.7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ht="12.7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ht="12.7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ht="12.7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ht="12.7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ht="12.7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ht="12.7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ht="12.7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ht="12.7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ht="12.7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ht="12.7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ht="12.7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ht="12.7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ht="12.7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ht="12.7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ht="12.7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ht="12.7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ht="12.7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ht="12.7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ht="12.7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ht="12.7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ht="12.7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ht="12.7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ht="12.7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ht="12.7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ht="12.7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ht="12.7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ht="12.7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ht="12.7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ht="12.7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ht="12.7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ht="12.7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ht="12.7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ht="12.7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ht="12.7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ht="12.7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ht="12.7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ht="12.7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ht="12.7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ht="12.7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ht="12.7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ht="12.7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ht="12.7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ht="12.7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ht="12.7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ht="12.7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ht="12.7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ht="12.7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ht="12.7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ht="12.7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ht="12.7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ht="12.7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ht="12.7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ht="12.7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ht="12.7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ht="12.7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ht="12.7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ht="12.7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ht="12.7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ht="12.7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ht="12.7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ht="12.7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ht="12.7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ht="12.7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ht="12.7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ht="12.7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ht="12.7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ht="12.7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ht="12.7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ht="12.7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ht="12.7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ht="12.7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ht="12.7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ht="12.7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ht="12.7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ht="12.7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ht="12.7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ht="12.7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ht="12.7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ht="12.7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ht="12.7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ht="12.7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ht="12.7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ht="12.7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ht="12.7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ht="12.7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ht="12.7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ht="12.7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ht="12.7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ht="12.7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ht="12.7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ht="12.7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ht="12.7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ht="12.7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ht="12.7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ht="12.7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ht="12.7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ht="12.7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ht="12.7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ht="12.7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ht="12.7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ht="12.7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ht="12.7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ht="12.7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ht="12.7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ht="12.7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ht="12.7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ht="12.7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ht="12.7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ht="12.7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ht="12.7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ht="12.7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ht="12.7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ht="12.7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ht="12.7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ht="12.7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ht="12.7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ht="12.7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ht="12.7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ht="12.7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ht="12.7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ht="12.7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ht="12.7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ht="12.7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ht="12.7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ht="12.7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ht="12.7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ht="12.7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ht="12.7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ht="12.7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ht="12.7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ht="12.7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ht="12.7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ht="12.7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ht="12.7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ht="12.7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ht="12.7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ht="12.7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ht="12.7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ht="12.7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ht="12.7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ht="12.7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ht="12.7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ht="12.7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ht="12.7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ht="12.7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ht="12.7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ht="12.7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ht="12.7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ht="12.7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ht="12.7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ht="12.7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ht="12.7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ht="12.7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ht="12.7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ht="12.7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ht="12.7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ht="12.7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ht="12.7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ht="12.7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ht="12.7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ht="12.7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ht="12.7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ht="12.7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ht="12.7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ht="12.7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ht="12.7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ht="12.7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ht="12.7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ht="12.7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ht="12.7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ht="12.7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ht="12.7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ht="12.7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ht="12.7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ht="12.7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ht="12.7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ht="12.7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ht="12.7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ht="12.7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ht="12.7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ht="12.7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ht="12.7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ht="12.7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ht="12.7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ht="12.7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ht="12.7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ht="12.7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ht="12.7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ht="12.7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ht="12.7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ht="12.7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ht="12.7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ht="12.7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ht="12.7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ht="12.7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ht="12.7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ht="12.7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ht="12.7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ht="12.7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ht="12.7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ht="12.7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ht="12.7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ht="12.7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ht="12.7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ht="12.7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ht="12.7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ht="12.7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ht="12.7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ht="12.7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ht="12.7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ht="12.7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ht="12.7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ht="12.7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ht="12.7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ht="12.7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ht="12.7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ht="12.7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ht="12.7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ht="12.7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ht="12.7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ht="12.7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ht="12.7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ht="12.7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ht="12.7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ht="12.7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ht="12.7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ht="12.7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ht="12.7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ht="12.7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ht="12.7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ht="12.7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ht="12.7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ht="12.7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ht="12.7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ht="12.7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ht="12.7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ht="12.7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ht="12.7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ht="12.7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ht="12.7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ht="12.7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ht="12.7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ht="12.7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ht="12.7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ht="12.7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ht="12.7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ht="12.7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ht="12.7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ht="12.7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ht="12.7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ht="12.7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ht="12.7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ht="12.7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ht="12.7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ht="12.7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ht="12.7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ht="12.7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ht="12.7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ht="12.7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ht="12.7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ht="12.7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ht="12.7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ht="12.7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ht="12.7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ht="12.7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ht="12.7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ht="12.7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ht="12.7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ht="12.7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ht="12.7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ht="12.7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ht="12.7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ht="12.7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ht="12.7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ht="12.7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ht="12.7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ht="12.7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ht="12.7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ht="12.7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ht="12.7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ht="12.7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ht="12.7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ht="12.7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ht="12.7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ht="12.7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ht="12.7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ht="12.7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ht="12.7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ht="12.7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ht="12.7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ht="12.7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ht="12.7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ht="12.7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ht="12.7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ht="12.7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ht="12.7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ht="12.7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ht="12.7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ht="12.7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ht="12.7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ht="12.7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ht="12.7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ht="12.7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ht="12.7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ht="12.7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ht="12.7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ht="12.7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ht="12.7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ht="12.7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ht="12.7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ht="12.7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ht="12.7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ht="12.7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ht="12.7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ht="12.7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ht="12.7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ht="12.7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ht="12.7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ht="12.7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ht="12.7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ht="12.7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ht="12.7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ht="12.7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ht="12.7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ht="12.7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ht="12.7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ht="12.7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ht="12.7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ht="12.7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ht="12.7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ht="12.7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ht="12.7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ht="12.7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ht="12.7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ht="12.7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ht="12.7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ht="12.7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ht="12.7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ht="12.7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ht="12.7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ht="12.7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ht="12.7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ht="12.7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ht="12.7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ht="12.7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ht="12.7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ht="12.7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ht="12.7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ht="12.7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ht="12.7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ht="12.7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ht="12.7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ht="12.7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ht="12.7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ht="12.7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ht="12.7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ht="12.7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ht="12.7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ht="12.7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ht="12.7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ht="12.7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ht="12.7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ht="12.7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ht="12.7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ht="12.7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ht="12.7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ht="12.7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ht="12.7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ht="12.7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ht="12.7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ht="12.7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ht="12.7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ht="12.7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ht="12.7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ht="12.7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ht="12.7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ht="12.7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ht="12.7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ht="12.7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ht="12.7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ht="12.7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ht="12.7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ht="12.7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ht="12.7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ht="12.7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ht="12.7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ht="12.7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ht="12.7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ht="12.7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ht="12.7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ht="12.7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ht="12.7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ht="12.7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ht="12.7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ht="12.7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ht="12.7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ht="12.7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ht="12.7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ht="12.7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ht="12.7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ht="12.7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ht="12.7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ht="12.7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ht="12.7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ht="12.7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ht="12.7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ht="12.7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ht="12.7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ht="12.7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ht="12.7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ht="12.7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ht="12.7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ht="12.7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ht="12.7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ht="12.7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ht="12.7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ht="12.7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ht="12.7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ht="12.7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ht="12.7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ht="12.7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ht="12.7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ht="12.7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ht="12.7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ht="12.7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ht="12.7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ht="12.7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ht="12.7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ht="12.7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ht="12.7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ht="12.7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ht="12.7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ht="12.7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ht="12.7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ht="12.7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ht="12.7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ht="12.7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ht="12.7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ht="12.7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ht="12.7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ht="12.7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ht="12.7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ht="12.7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ht="12.7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ht="12.7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ht="12.7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ht="12.7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ht="12.7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ht="12.7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ht="12.7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ht="12.7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ht="12.7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ht="12.7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ht="12.7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ht="12.7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ht="12.7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ht="12.7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ht="12.7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ht="12.7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ht="12.7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ht="12.7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ht="12.7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ht="12.7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ht="12.7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ht="12.7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ht="12.7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ht="12.7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ht="12.7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ht="12.7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ht="12.7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ht="12.7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ht="12.7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ht="12.7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ht="12.7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ht="12.7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ht="12.7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ht="12.7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ht="12.7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ht="12.7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ht="12.7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ht="12.7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ht="12.7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ht="12.7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ht="12.7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ht="12.7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ht="12.7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ht="12.7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ht="12.7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ht="12.7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ht="12.7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ht="12.7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ht="12.7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ht="12.7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ht="12.7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ht="12.7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ht="12.7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ht="12.7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ht="12.7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ht="12.7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ht="12.7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ht="12.7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ht="12.7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ht="12.7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ht="12.7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ht="12.7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ht="12.7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ht="12.7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ht="12.7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ht="12.7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ht="12.7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ht="12.7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ht="12.7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ht="12.7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ht="12.7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ht="12.7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ht="12.7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ht="12.7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ht="12.7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ht="12.7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ht="12.7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ht="12.7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ht="12.7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ht="12.7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ht="12.7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ht="12.7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ht="12.7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ht="12.7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ht="12.7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ht="12.7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ht="12.7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ht="12.7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ht="12.7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ht="12.7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ht="12.7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ht="12.7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ht="12.7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ht="12.7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ht="12.7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ht="12.7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ht="12.7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ht="12.7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ht="12.7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ht="12.7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ht="12.7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ht="12.7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ht="12.7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ht="12.7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ht="12.7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ht="12.7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ht="12.7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ht="12.7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ht="12.7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ht="12.7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ht="12.7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ht="12.7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ht="12.7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ht="12.7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ht="12.7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ht="12.7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ht="12.7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ht="12.7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ht="12.7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ht="12.7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ht="12.7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ht="12.7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ht="12.7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ht="12.7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ht="12.7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ht="12.7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ht="12.7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ht="12.7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ht="12.7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ht="12.7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ht="12.7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ht="12.7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ht="12.7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ht="12.7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ht="12.7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ht="12.7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ht="12.7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ht="12.7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ht="12.7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ht="12.7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ht="12.7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ht="12.7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ht="12.7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ht="12.7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ht="12.7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ht="12.7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ht="12.7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ht="12.7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ht="12.7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ht="12.7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ht="12.7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ht="12.7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ht="12.7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ht="12.7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ht="12.7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ht="12.7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ht="12.7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ht="12.7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ht="12.7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ht="12.7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ht="12.7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ht="12.7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ht="12.7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ht="12.7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ht="12.7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ht="12.7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ht="12.7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ht="12.7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ht="12.7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ht="12.7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ht="12.7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ht="12.7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ht="12.7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ht="12.7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ht="12.7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ht="12.7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ht="12.7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ht="12.7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ht="12.7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ht="12.7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ht="12.7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ht="12.7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ht="12.7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ht="12.7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ht="12.7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ht="12.7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ht="12.7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ht="12.7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ht="12.7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ht="12.7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ht="12.7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ht="12.7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ht="12.7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ht="12.7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ht="12.7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ht="12.7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ht="12.7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ht="12.7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ht="12.7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ht="12.7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ht="12.7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ht="12.7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ht="12.7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ht="12.7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ht="12.7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ht="12.7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ht="12.7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ht="12.7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ht="12.7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ht="12.7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ht="12.7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ht="12.7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ht="12.7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ht="12.7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ht="12.7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ht="12.7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ht="12.7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ht="12.7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ht="12.7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ht="12.7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ht="12.7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ht="12.7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ht="12.7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ht="12.7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ht="12.7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ht="12.7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ht="12.7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ht="12.7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ht="12.7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ht="12.7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ht="12.7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ht="12.7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ht="12.7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ht="12.7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ht="12.7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ht="12.7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ht="12.7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ht="12.7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ht="12.7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ht="12.7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ht="12.7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ht="12.7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ht="12.7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ht="12.7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ht="12.7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ht="12.7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ht="12.7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ht="12.7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ht="12.7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ht="12.7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ht="12.7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ht="12.7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ht="12.7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ht="12.7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ht="12.7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ht="12.7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ht="12.7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ht="12.7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ht="12.7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ht="12.7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ht="12.7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ht="12.7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ht="12.7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ht="12.7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ht="12.7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ht="12.7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ht="12.7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ht="12.7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ht="12.7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ht="12.7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ht="12.7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ht="12.7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ht="12.7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ht="12.7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ht="12.7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ht="12.7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ht="12.7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ht="12.7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ht="12.7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ht="12.7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ht="12.7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ht="12.7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ht="12.7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ht="12.7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ht="12.7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ht="12.7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ht="12.7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ht="12.7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ht="12.7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ht="12.7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ht="12.7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ht="12.7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ht="12.7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ht="12.7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ht="12.7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ht="12.7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ht="12.7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ht="12.7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ht="12.7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ht="12.7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ht="12.7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ht="12.7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ht="12.7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ht="12.7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ht="12.7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ht="12.7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ht="12.7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ht="12.7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ht="12.7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ht="12.7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ht="12.7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ht="12.7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ht="12.7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ht="12.7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ht="12.7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ht="12.7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ht="12.7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ht="12.7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ht="12.7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ht="12.7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ht="12.7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ht="12.7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76">
    <mergeCell ref="H25:K25"/>
    <mergeCell ref="L25:O25"/>
    <mergeCell ref="A17:B17"/>
    <mergeCell ref="A18:B18"/>
    <mergeCell ref="A19:B19"/>
    <mergeCell ref="A20:A23"/>
    <mergeCell ref="A24:C25"/>
    <mergeCell ref="H24:K24"/>
    <mergeCell ref="L24:O24"/>
    <mergeCell ref="D24:G24"/>
    <mergeCell ref="D25:G25"/>
    <mergeCell ref="A26:O26"/>
    <mergeCell ref="A27:O27"/>
    <mergeCell ref="A28:M28"/>
    <mergeCell ref="N28:O28"/>
    <mergeCell ref="N29:O29"/>
    <mergeCell ref="A29:M29"/>
    <mergeCell ref="A30:M30"/>
    <mergeCell ref="N30:O30"/>
    <mergeCell ref="A31:M31"/>
    <mergeCell ref="N31:O31"/>
    <mergeCell ref="A32:M32"/>
    <mergeCell ref="N32:O32"/>
    <mergeCell ref="A33:M33"/>
    <mergeCell ref="N33:O33"/>
    <mergeCell ref="A34:M34"/>
    <mergeCell ref="N34:O34"/>
    <mergeCell ref="A35:M35"/>
    <mergeCell ref="N35:O35"/>
    <mergeCell ref="N36:O36"/>
    <mergeCell ref="A36:M36"/>
    <mergeCell ref="A37:M37"/>
    <mergeCell ref="N37:O37"/>
    <mergeCell ref="A38:M38"/>
    <mergeCell ref="N38:O38"/>
    <mergeCell ref="A39:M39"/>
    <mergeCell ref="N39:O39"/>
    <mergeCell ref="A1:C4"/>
    <mergeCell ref="D1:O1"/>
    <mergeCell ref="D2:O2"/>
    <mergeCell ref="D3:O3"/>
    <mergeCell ref="D4:O4"/>
    <mergeCell ref="A5:E5"/>
    <mergeCell ref="F5:O5"/>
    <mergeCell ref="E9:E10"/>
    <mergeCell ref="F9:G10"/>
    <mergeCell ref="H9:H10"/>
    <mergeCell ref="I9:I10"/>
    <mergeCell ref="J9:K10"/>
    <mergeCell ref="L9:O9"/>
    <mergeCell ref="L10:M10"/>
    <mergeCell ref="N10:O10"/>
    <mergeCell ref="J11:O11"/>
    <mergeCell ref="A6:E6"/>
    <mergeCell ref="F6:O6"/>
    <mergeCell ref="A7:E7"/>
    <mergeCell ref="F7:O7"/>
    <mergeCell ref="A8:E8"/>
    <mergeCell ref="G8:O8"/>
    <mergeCell ref="A9:D10"/>
    <mergeCell ref="A11:D11"/>
    <mergeCell ref="F11:G11"/>
    <mergeCell ref="A12:O12"/>
    <mergeCell ref="A13:O13"/>
    <mergeCell ref="A14:O14"/>
    <mergeCell ref="A15:O15"/>
    <mergeCell ref="A16:B16"/>
    <mergeCell ref="A43:M43"/>
    <mergeCell ref="A44:O44"/>
    <mergeCell ref="A40:M40"/>
    <mergeCell ref="N40:O40"/>
    <mergeCell ref="A41:M41"/>
    <mergeCell ref="N41:O41"/>
    <mergeCell ref="A42:M42"/>
    <mergeCell ref="N42:O42"/>
    <mergeCell ref="N43:O43"/>
  </mergeCells>
  <dataValidations>
    <dataValidation type="list" allowBlank="1" showErrorMessage="1" sqref="J11">
      <formula1>$Q$46:$Q$58</formula1>
    </dataValidation>
  </dataValidations>
  <printOptions/>
  <pageMargins bottom="0.35433070866141736" footer="0.0" header="0.0" left="0.3937007874015748" right="0.3937007874015748" top="0.35433070866141736"/>
  <pageSetup scale="73" orientation="portrait"/>
  <headerFooter>
    <oddFooter>&amp;RDiseñado por: Wilson Andrade González</oddFooter>
  </headerFooter>
  <drawing r:id="rId1"/>
</worksheet>
</file>